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42B55093-CDBF-437F-A918-CFDB0BE23C99}" xr6:coauthVersionLast="36" xr6:coauthVersionMax="36" xr10:uidLastSave="{00000000-0000-0000-0000-000000000000}"/>
  <bookViews>
    <workbookView xWindow="0" yWindow="0" windowWidth="28800" windowHeight="11505" tabRatio="889" firstSheet="2" activeTab="32" xr2:uid="{00000000-000D-0000-FFFF-FFFF00000000}"/>
  </bookViews>
  <sheets>
    <sheet name="ST6" sheetId="47" state="hidden" r:id="rId1"/>
    <sheet name="DT10" sheetId="46" state="hidden" r:id="rId2"/>
    <sheet name="PT1" sheetId="1" r:id="rId3"/>
    <sheet name="PT2" sheetId="2" r:id="rId4"/>
    <sheet name="PT3" sheetId="27" r:id="rId5"/>
    <sheet name="PT4" sheetId="28" r:id="rId6"/>
    <sheet name="PT5" sheetId="42" r:id="rId7"/>
    <sheet name="PT6" sheetId="29" r:id="rId8"/>
    <sheet name="PT7" sheetId="58" r:id="rId9"/>
    <sheet name="PT8" sheetId="43" r:id="rId10"/>
    <sheet name="PT9" sheetId="50" r:id="rId11"/>
    <sheet name="PT10" sheetId="51" r:id="rId12"/>
    <sheet name="PT6-7_Revised" sheetId="36" state="hidden" r:id="rId13"/>
    <sheet name="PT11" sheetId="54" r:id="rId14"/>
    <sheet name="PT12" sheetId="55" r:id="rId15"/>
    <sheet name="PT13" sheetId="32" r:id="rId16"/>
    <sheet name="PT14.zero" sheetId="9" state="hidden" r:id="rId17"/>
    <sheet name="PT14 &amp; 14a" sheetId="59" r:id="rId18"/>
    <sheet name="PT15" sheetId="56" r:id="rId19"/>
    <sheet name="PT16" sheetId="57" r:id="rId20"/>
    <sheet name="PT17" sheetId="11" r:id="rId21"/>
    <sheet name="PT14_Revised" sheetId="37" state="hidden" r:id="rId22"/>
    <sheet name="PT18" sheetId="31" r:id="rId23"/>
    <sheet name="PT19" sheetId="13" r:id="rId24"/>
    <sheet name="PT20" sheetId="41" r:id="rId25"/>
    <sheet name="PT21" sheetId="64" r:id="rId26"/>
    <sheet name="PT22" sheetId="16" r:id="rId27"/>
    <sheet name="PT23" sheetId="17" r:id="rId28"/>
    <sheet name="PT24" sheetId="18" r:id="rId29"/>
    <sheet name="PT25" sheetId="19" r:id="rId30"/>
    <sheet name="PT26" sheetId="53" r:id="rId31"/>
    <sheet name="PT27" sheetId="62" r:id="rId32"/>
    <sheet name="PT28" sheetId="63" r:id="rId33"/>
  </sheets>
  <externalReferences>
    <externalReference r:id="rId34"/>
    <externalReference r:id="rId35"/>
    <externalReference r:id="rId36"/>
    <externalReference r:id="rId37"/>
  </externalReferences>
  <definedNames>
    <definedName name="_xlnm._FilterDatabase" localSheetId="11" hidden="1">'PT10'!#REF!</definedName>
    <definedName name="_xlnm._FilterDatabase" localSheetId="14" hidden="1">'PT12'!$A$5:$Q$82</definedName>
    <definedName name="_xlnm._FilterDatabase" localSheetId="18" hidden="1">'PT15'!#REF!</definedName>
    <definedName name="_xlnm._FilterDatabase" localSheetId="19" hidden="1">'PT16'!$X$5:$Y$57</definedName>
    <definedName name="_xlnm._FilterDatabase" localSheetId="3" hidden="1">'PT2'!$A$7:$O$12</definedName>
    <definedName name="_xlnm._FilterDatabase" localSheetId="24" hidden="1">'PT20'!$A$6:$O$58</definedName>
    <definedName name="_xlnm._FilterDatabase" localSheetId="25" hidden="1">'PT21'!#REF!</definedName>
    <definedName name="_xlnm._FilterDatabase" localSheetId="28" hidden="1">'PT24'!$A$5:$K$38</definedName>
    <definedName name="_xlnm._FilterDatabase" localSheetId="30" hidden="1">'PT26'!$A$5:$N$63</definedName>
    <definedName name="_xlnm._FilterDatabase" localSheetId="32" hidden="1">'PT28'!$A$5:$Z$30</definedName>
    <definedName name="_xlnm._FilterDatabase" localSheetId="10" hidden="1">'PT9'!$A$1:$B$2</definedName>
    <definedName name="_Regression_Int" localSheetId="23" hidden="1">1</definedName>
    <definedName name="_Regression_Int" localSheetId="24" hidden="1">1</definedName>
    <definedName name="_Regression_Int" localSheetId="26" hidden="1">1</definedName>
    <definedName name="_Regression_Int" localSheetId="28" hidden="1">1</definedName>
    <definedName name="_Regression_Int" localSheetId="29" hidden="1">1</definedName>
    <definedName name="bu" localSheetId="25">'PT20'!#REF!</definedName>
    <definedName name="bu">'PT20'!#REF!</definedName>
    <definedName name="_xlnm.Print_Area" localSheetId="2">'PT1'!$A$1:$I$17</definedName>
    <definedName name="_xlnm.Print_Area" localSheetId="11">'PT10'!$A$1:$J$29</definedName>
    <definedName name="_xlnm.Print_Area" localSheetId="13">'PT11'!$A$1:$J$57</definedName>
    <definedName name="_xlnm.Print_Area" localSheetId="14">'PT12'!$A$1:$H$82</definedName>
    <definedName name="_xlnm.Print_Area" localSheetId="15">'PT13'!$A$1:$C$23</definedName>
    <definedName name="_xlnm.Print_Area" localSheetId="17">'PT14 &amp; 14a'!$A$1:$E$21</definedName>
    <definedName name="_xlnm.Print_Area" localSheetId="18">'PT15'!$A$1:$N$56</definedName>
    <definedName name="_xlnm.Print_Area" localSheetId="19">'PT16'!$A$1:$U$56</definedName>
    <definedName name="_xlnm.Print_Area" localSheetId="20">'PT17'!$A$1:$M$34</definedName>
    <definedName name="_xlnm.Print_Area" localSheetId="22">'PT18'!$A$1:$K$34</definedName>
    <definedName name="_xlnm.Print_Area" localSheetId="23">'PT19'!$A$1:$M$16</definedName>
    <definedName name="_xlnm.Print_Area" localSheetId="3">'PT2'!$A$1:$O$17</definedName>
    <definedName name="_xlnm.Print_Area" localSheetId="24">'PT20'!$A$1:$G$58</definedName>
    <definedName name="_xlnm.Print_Area" localSheetId="25">'PT21'!$A$1:$U$6</definedName>
    <definedName name="_xlnm.Print_Area" localSheetId="28">'PT24'!$A$1:$H$38</definedName>
    <definedName name="_xlnm.Print_Area" localSheetId="29">'PT25'!$A$1:$J$16</definedName>
    <definedName name="_xlnm.Print_Area" localSheetId="30">'PT26'!$A$1:$K$63</definedName>
    <definedName name="_xlnm.Print_Area" localSheetId="31">'PT27'!$A$1:$M$30</definedName>
    <definedName name="_xlnm.Print_Area" localSheetId="32">'PT28'!$A$1:$V$30</definedName>
    <definedName name="_xlnm.Print_Area" localSheetId="4">'PT3'!$A$1:$K$15</definedName>
    <definedName name="_xlnm.Print_Area" localSheetId="6">'PT5'!$A$1:$M$27</definedName>
    <definedName name="_xlnm.Print_Area" localSheetId="7">'PT6'!$A$1:$M$23</definedName>
    <definedName name="_xlnm.Print_Area" localSheetId="12">'PT6-7_Revised'!$A$1:$J$137</definedName>
    <definedName name="_xlnm.Print_Area" localSheetId="8">'PT7'!$A$1:$M$20</definedName>
    <definedName name="_xlnm.Print_Area" localSheetId="9">'PT8'!$A$1:$P$22</definedName>
    <definedName name="_xlnm.Print_Area" localSheetId="10">'PT9'!$A$1:$J$58</definedName>
    <definedName name="_xlnm.Print_Titles" localSheetId="14">'PT12'!$1:$5</definedName>
    <definedName name="_xlnm.Print_Titles" localSheetId="10">'PT9'!$1:$2</definedName>
  </definedNames>
  <calcPr calcId="191029"/>
</workbook>
</file>

<file path=xl/calcChain.xml><?xml version="1.0" encoding="utf-8"?>
<calcChain xmlns="http://schemas.openxmlformats.org/spreadsheetml/2006/main">
  <c r="T22" i="64" l="1"/>
  <c r="T23" i="64"/>
  <c r="T24" i="64"/>
  <c r="T25" i="64"/>
  <c r="T26" i="64"/>
  <c r="T42" i="64"/>
  <c r="T43" i="64"/>
  <c r="T44" i="64"/>
  <c r="T45" i="64"/>
  <c r="S9" i="64"/>
  <c r="S10" i="64"/>
  <c r="S11" i="64"/>
  <c r="S12" i="64"/>
  <c r="S29" i="64"/>
  <c r="S30" i="64"/>
  <c r="S31" i="64"/>
  <c r="S32" i="64"/>
  <c r="S49" i="64"/>
  <c r="S50" i="64"/>
  <c r="S51" i="64"/>
  <c r="S52" i="64"/>
  <c r="R8" i="64"/>
  <c r="T8" i="64" s="1"/>
  <c r="R9" i="64"/>
  <c r="T9" i="64" s="1"/>
  <c r="R10" i="64"/>
  <c r="T10" i="64" s="1"/>
  <c r="R11" i="64"/>
  <c r="T11" i="64" s="1"/>
  <c r="R12" i="64"/>
  <c r="T12" i="64" s="1"/>
  <c r="R13" i="64"/>
  <c r="S13" i="64" s="1"/>
  <c r="R14" i="64"/>
  <c r="S14" i="64" s="1"/>
  <c r="R15" i="64"/>
  <c r="T15" i="64" s="1"/>
  <c r="R16" i="64"/>
  <c r="S16" i="64" s="1"/>
  <c r="R17" i="64"/>
  <c r="S17" i="64" s="1"/>
  <c r="R18" i="64"/>
  <c r="S18" i="64" s="1"/>
  <c r="R19" i="64"/>
  <c r="T19" i="64" s="1"/>
  <c r="R20" i="64"/>
  <c r="T20" i="64" s="1"/>
  <c r="R21" i="64"/>
  <c r="S21" i="64" s="1"/>
  <c r="R22" i="64"/>
  <c r="R23" i="64"/>
  <c r="R24" i="64"/>
  <c r="R25" i="64"/>
  <c r="R26" i="64"/>
  <c r="R27" i="64"/>
  <c r="T27" i="64" s="1"/>
  <c r="R28" i="64"/>
  <c r="T28" i="64" s="1"/>
  <c r="R29" i="64"/>
  <c r="T29" i="64" s="1"/>
  <c r="R30" i="64"/>
  <c r="T30" i="64" s="1"/>
  <c r="R31" i="64"/>
  <c r="T31" i="64" s="1"/>
  <c r="R32" i="64"/>
  <c r="T32" i="64" s="1"/>
  <c r="R33" i="64"/>
  <c r="S33" i="64" s="1"/>
  <c r="R34" i="64"/>
  <c r="T34" i="64" s="1"/>
  <c r="R35" i="64"/>
  <c r="S35" i="64" s="1"/>
  <c r="R36" i="64"/>
  <c r="S36" i="64" s="1"/>
  <c r="R37" i="64"/>
  <c r="S37" i="64" s="1"/>
  <c r="R38" i="64"/>
  <c r="S38" i="64" s="1"/>
  <c r="R39" i="64"/>
  <c r="S39" i="64" s="1"/>
  <c r="R40" i="64"/>
  <c r="T40" i="64" s="1"/>
  <c r="R41" i="64"/>
  <c r="S41" i="64" s="1"/>
  <c r="R42" i="64"/>
  <c r="R43" i="64"/>
  <c r="R44" i="64"/>
  <c r="R45" i="64"/>
  <c r="R46" i="64"/>
  <c r="T46" i="64" s="1"/>
  <c r="R47" i="64"/>
  <c r="T47" i="64" s="1"/>
  <c r="R48" i="64"/>
  <c r="T48" i="64" s="1"/>
  <c r="R49" i="64"/>
  <c r="T49" i="64" s="1"/>
  <c r="R50" i="64"/>
  <c r="T50" i="64" s="1"/>
  <c r="R51" i="64"/>
  <c r="T51" i="64" s="1"/>
  <c r="R52" i="64"/>
  <c r="T52" i="64" s="1"/>
  <c r="R53" i="64"/>
  <c r="S53" i="64" s="1"/>
  <c r="R54" i="64"/>
  <c r="S54" i="64" s="1"/>
  <c r="R55" i="64"/>
  <c r="T55" i="64" s="1"/>
  <c r="R56" i="64"/>
  <c r="S56" i="64" s="1"/>
  <c r="R57" i="64"/>
  <c r="S43" i="64" s="1"/>
  <c r="R7" i="64"/>
  <c r="S7" i="64" s="1"/>
  <c r="G9" i="64"/>
  <c r="G10" i="64"/>
  <c r="G29" i="64"/>
  <c r="G30" i="64"/>
  <c r="G49" i="64"/>
  <c r="G50" i="64"/>
  <c r="F8" i="64"/>
  <c r="F9" i="64"/>
  <c r="F10" i="64"/>
  <c r="F11" i="64"/>
  <c r="G11" i="64" s="1"/>
  <c r="F12" i="64"/>
  <c r="G12" i="64" s="1"/>
  <c r="F13" i="64"/>
  <c r="G13" i="64" s="1"/>
  <c r="F14" i="64"/>
  <c r="G14" i="64" s="1"/>
  <c r="F15" i="64"/>
  <c r="G15" i="64" s="1"/>
  <c r="F16" i="64"/>
  <c r="G16" i="64" s="1"/>
  <c r="F17" i="64"/>
  <c r="G17" i="64" s="1"/>
  <c r="F18" i="64"/>
  <c r="G18" i="64" s="1"/>
  <c r="F19" i="64"/>
  <c r="G19" i="64" s="1"/>
  <c r="F20" i="64"/>
  <c r="F21" i="64"/>
  <c r="F22" i="64"/>
  <c r="F23" i="64"/>
  <c r="F24" i="64"/>
  <c r="F25" i="64"/>
  <c r="F26" i="64"/>
  <c r="F27" i="64"/>
  <c r="F28" i="64"/>
  <c r="F29" i="64"/>
  <c r="F30" i="64"/>
  <c r="F31" i="64"/>
  <c r="G31" i="64" s="1"/>
  <c r="F32" i="64"/>
  <c r="G32" i="64" s="1"/>
  <c r="F33" i="64"/>
  <c r="G33" i="64" s="1"/>
  <c r="F34" i="64"/>
  <c r="G34" i="64" s="1"/>
  <c r="F35" i="64"/>
  <c r="G35" i="64" s="1"/>
  <c r="F36" i="64"/>
  <c r="G36" i="64" s="1"/>
  <c r="F37" i="64"/>
  <c r="G37" i="64" s="1"/>
  <c r="F38" i="64"/>
  <c r="G38" i="64" s="1"/>
  <c r="F39" i="64"/>
  <c r="G39" i="64" s="1"/>
  <c r="F40" i="64"/>
  <c r="F41" i="64"/>
  <c r="F42" i="64"/>
  <c r="F43" i="64"/>
  <c r="F44" i="64"/>
  <c r="F45" i="64"/>
  <c r="F46" i="64"/>
  <c r="F47" i="64"/>
  <c r="F48" i="64"/>
  <c r="F49" i="64"/>
  <c r="F50" i="64"/>
  <c r="F51" i="64"/>
  <c r="G51" i="64" s="1"/>
  <c r="F52" i="64"/>
  <c r="G52" i="64" s="1"/>
  <c r="F53" i="64"/>
  <c r="G53" i="64" s="1"/>
  <c r="F54" i="64"/>
  <c r="G54" i="64" s="1"/>
  <c r="F55" i="64"/>
  <c r="G55" i="64" s="1"/>
  <c r="F56" i="64"/>
  <c r="G56" i="64" s="1"/>
  <c r="F57" i="64"/>
  <c r="G20" i="64" s="1"/>
  <c r="F7" i="64"/>
  <c r="G7" i="64" s="1"/>
  <c r="N6" i="56"/>
  <c r="L6" i="56" s="1"/>
  <c r="N7" i="56"/>
  <c r="M7" i="56" s="1"/>
  <c r="M14" i="56" s="1"/>
  <c r="N8" i="56"/>
  <c r="N9" i="56"/>
  <c r="N10" i="56"/>
  <c r="L10" i="56" s="1"/>
  <c r="N11" i="56"/>
  <c r="L11" i="56" s="1"/>
  <c r="N12" i="56"/>
  <c r="N13" i="56"/>
  <c r="B14" i="56"/>
  <c r="B34" i="56" s="1"/>
  <c r="C14" i="56"/>
  <c r="C34" i="56" s="1"/>
  <c r="D14" i="56"/>
  <c r="D34" i="56" s="1"/>
  <c r="E14" i="56"/>
  <c r="E34" i="56" s="1"/>
  <c r="F14" i="56"/>
  <c r="F34" i="56" s="1"/>
  <c r="G14" i="56"/>
  <c r="H14" i="56"/>
  <c r="I14" i="56"/>
  <c r="J14" i="56"/>
  <c r="J34" i="56" s="1"/>
  <c r="K14" i="56"/>
  <c r="K34" i="56" s="1"/>
  <c r="N15" i="56"/>
  <c r="N16" i="56"/>
  <c r="N17" i="56"/>
  <c r="N18" i="56"/>
  <c r="M18" i="56" s="1"/>
  <c r="N19" i="56"/>
  <c r="M19" i="56" s="1"/>
  <c r="N20" i="56"/>
  <c r="N21" i="56"/>
  <c r="N22" i="56"/>
  <c r="N23" i="56"/>
  <c r="N24" i="56"/>
  <c r="N25" i="56"/>
  <c r="N26" i="56"/>
  <c r="N27" i="56"/>
  <c r="N28" i="56"/>
  <c r="N29" i="56"/>
  <c r="N30" i="56"/>
  <c r="N31" i="56"/>
  <c r="N32" i="56"/>
  <c r="N33" i="56"/>
  <c r="G34" i="56"/>
  <c r="H34" i="56"/>
  <c r="I34" i="56"/>
  <c r="N35" i="56"/>
  <c r="M35" i="56" s="1"/>
  <c r="N36" i="56"/>
  <c r="N37" i="56"/>
  <c r="N38" i="56"/>
  <c r="N39" i="56"/>
  <c r="N40" i="56"/>
  <c r="N41" i="56"/>
  <c r="N42" i="56"/>
  <c r="N43" i="56"/>
  <c r="N44" i="56"/>
  <c r="N45" i="56"/>
  <c r="G47" i="64" l="1"/>
  <c r="G46" i="64"/>
  <c r="S48" i="64"/>
  <c r="S28" i="64"/>
  <c r="T41" i="64"/>
  <c r="S47" i="64"/>
  <c r="T7" i="64"/>
  <c r="T39" i="64"/>
  <c r="G43" i="64"/>
  <c r="T38" i="64"/>
  <c r="T57" i="64"/>
  <c r="U49" i="64" s="1"/>
  <c r="G21" i="64"/>
  <c r="S23" i="64"/>
  <c r="T36" i="64"/>
  <c r="U36" i="64" s="1"/>
  <c r="G40" i="64"/>
  <c r="S42" i="64"/>
  <c r="S22" i="64"/>
  <c r="T35" i="64"/>
  <c r="T54" i="64"/>
  <c r="S20" i="64"/>
  <c r="T33" i="64"/>
  <c r="G57" i="64"/>
  <c r="S55" i="64"/>
  <c r="S15" i="64"/>
  <c r="G48" i="64"/>
  <c r="G8" i="64"/>
  <c r="G27" i="64"/>
  <c r="G26" i="64"/>
  <c r="G45" i="64"/>
  <c r="S27" i="64"/>
  <c r="T21" i="64"/>
  <c r="U21" i="64" s="1"/>
  <c r="G44" i="64"/>
  <c r="G22" i="64"/>
  <c r="S24" i="64"/>
  <c r="T18" i="64"/>
  <c r="T56" i="64"/>
  <c r="T17" i="64"/>
  <c r="T16" i="64"/>
  <c r="S40" i="64"/>
  <c r="T53" i="64"/>
  <c r="S19" i="64"/>
  <c r="T14" i="64"/>
  <c r="U14" i="64" s="1"/>
  <c r="T13" i="64"/>
  <c r="U13" i="64" s="1"/>
  <c r="S57" i="64"/>
  <c r="S34" i="64"/>
  <c r="G28" i="64"/>
  <c r="S8" i="64"/>
  <c r="G25" i="64"/>
  <c r="G24" i="64"/>
  <c r="S46" i="64"/>
  <c r="S26" i="64"/>
  <c r="G23" i="64"/>
  <c r="S45" i="64"/>
  <c r="S25" i="64"/>
  <c r="G42" i="64"/>
  <c r="S44" i="64"/>
  <c r="T37" i="64"/>
  <c r="U37" i="64" s="1"/>
  <c r="G41" i="64"/>
  <c r="U48" i="64"/>
  <c r="U16" i="64"/>
  <c r="U55" i="64"/>
  <c r="U15" i="64"/>
  <c r="U44" i="64"/>
  <c r="U54" i="64"/>
  <c r="U40" i="64"/>
  <c r="U30" i="64"/>
  <c r="U20" i="64"/>
  <c r="U10" i="64"/>
  <c r="N14" i="56"/>
  <c r="N34" i="56" s="1"/>
  <c r="L14" i="56"/>
  <c r="L34" i="56" s="1"/>
  <c r="M34" i="56"/>
  <c r="C16" i="19"/>
  <c r="B16" i="19"/>
  <c r="D16" i="19" s="1"/>
  <c r="D15" i="19"/>
  <c r="D14" i="19"/>
  <c r="D13" i="19"/>
  <c r="D12" i="19"/>
  <c r="D11" i="19"/>
  <c r="D10" i="19"/>
  <c r="D9" i="19"/>
  <c r="D8" i="19"/>
  <c r="D7" i="19"/>
  <c r="D6" i="19"/>
  <c r="L16" i="13"/>
  <c r="E16" i="13" s="1"/>
  <c r="K16" i="13"/>
  <c r="F16" i="13"/>
  <c r="L15" i="13"/>
  <c r="K15" i="13"/>
  <c r="F15" i="13"/>
  <c r="L14" i="13"/>
  <c r="E14" i="13" s="1"/>
  <c r="K14" i="13"/>
  <c r="F14" i="13"/>
  <c r="L13" i="13"/>
  <c r="K13" i="13"/>
  <c r="F13" i="13"/>
  <c r="L12" i="13"/>
  <c r="E12" i="13" s="1"/>
  <c r="K12" i="13"/>
  <c r="F12" i="13"/>
  <c r="L11" i="13"/>
  <c r="M11" i="13" s="1"/>
  <c r="K11" i="13"/>
  <c r="J11" i="13"/>
  <c r="F11" i="13"/>
  <c r="K10" i="13"/>
  <c r="J10" i="13"/>
  <c r="F10" i="13"/>
  <c r="E10" i="13"/>
  <c r="L9" i="13"/>
  <c r="M10" i="13" s="1"/>
  <c r="K9" i="13"/>
  <c r="F9" i="13"/>
  <c r="E9" i="13"/>
  <c r="L8" i="13"/>
  <c r="E8" i="13" s="1"/>
  <c r="K8" i="13"/>
  <c r="F8" i="13"/>
  <c r="L7" i="13"/>
  <c r="N173" i="37"/>
  <c r="N174" i="37" s="1"/>
  <c r="M173" i="37"/>
  <c r="M174" i="37" s="1"/>
  <c r="L173" i="37"/>
  <c r="L174" i="37" s="1"/>
  <c r="K173" i="37"/>
  <c r="J173" i="37"/>
  <c r="I173" i="37"/>
  <c r="H173" i="37"/>
  <c r="G173" i="37"/>
  <c r="F173" i="37"/>
  <c r="E173" i="37"/>
  <c r="D173" i="37"/>
  <c r="C173" i="37"/>
  <c r="O172" i="37"/>
  <c r="O171" i="37"/>
  <c r="O170" i="37"/>
  <c r="O169" i="37"/>
  <c r="O168" i="37"/>
  <c r="O167" i="37"/>
  <c r="O166" i="37"/>
  <c r="O165" i="37"/>
  <c r="O164" i="37"/>
  <c r="O163" i="37"/>
  <c r="O162" i="37"/>
  <c r="O161" i="37"/>
  <c r="O160" i="37"/>
  <c r="O159" i="37"/>
  <c r="O158" i="37"/>
  <c r="O157" i="37"/>
  <c r="O156" i="37"/>
  <c r="O155" i="37"/>
  <c r="N154" i="37"/>
  <c r="N153" i="37" s="1"/>
  <c r="M154" i="37"/>
  <c r="L154" i="37"/>
  <c r="L153" i="37" s="1"/>
  <c r="K154" i="37"/>
  <c r="J154" i="37"/>
  <c r="I154" i="37"/>
  <c r="I153" i="37" s="1"/>
  <c r="H154" i="37"/>
  <c r="H153" i="37" s="1"/>
  <c r="G154" i="37"/>
  <c r="G153" i="37" s="1"/>
  <c r="F154" i="37"/>
  <c r="F174" i="37" s="1"/>
  <c r="E154" i="37"/>
  <c r="E153" i="37" s="1"/>
  <c r="D154" i="37"/>
  <c r="C154" i="37"/>
  <c r="C174" i="37" s="1"/>
  <c r="M153" i="37"/>
  <c r="F153" i="37"/>
  <c r="D153" i="37"/>
  <c r="O152" i="37"/>
  <c r="O151" i="37"/>
  <c r="O150" i="37"/>
  <c r="O149" i="37"/>
  <c r="O148" i="37"/>
  <c r="O147" i="37"/>
  <c r="O146" i="37"/>
  <c r="O145" i="37"/>
  <c r="O144" i="37"/>
  <c r="O154" i="37" s="1"/>
  <c r="L143" i="37"/>
  <c r="N142" i="37"/>
  <c r="M142" i="37"/>
  <c r="M143" i="37" s="1"/>
  <c r="L142" i="37"/>
  <c r="K142" i="37"/>
  <c r="J142" i="37"/>
  <c r="I142" i="37"/>
  <c r="H142" i="37"/>
  <c r="H143" i="37" s="1"/>
  <c r="G142" i="37"/>
  <c r="G143" i="37" s="1"/>
  <c r="F142" i="37"/>
  <c r="E142" i="37"/>
  <c r="D142" i="37"/>
  <c r="C142" i="37"/>
  <c r="O141" i="37"/>
  <c r="O140" i="37"/>
  <c r="O139" i="37"/>
  <c r="O138" i="37"/>
  <c r="O137" i="37"/>
  <c r="O136" i="37"/>
  <c r="O135" i="37"/>
  <c r="O134" i="37"/>
  <c r="O133" i="37"/>
  <c r="O132" i="37"/>
  <c r="O131" i="37"/>
  <c r="O130" i="37"/>
  <c r="O129" i="37"/>
  <c r="O128" i="37"/>
  <c r="O127" i="37"/>
  <c r="O126" i="37"/>
  <c r="O125" i="37"/>
  <c r="O124" i="37"/>
  <c r="N123" i="37"/>
  <c r="N122" i="37" s="1"/>
  <c r="M123" i="37"/>
  <c r="M122" i="37" s="1"/>
  <c r="L123" i="37"/>
  <c r="K123" i="37"/>
  <c r="K122" i="37" s="1"/>
  <c r="J123" i="37"/>
  <c r="I123" i="37"/>
  <c r="H123" i="37"/>
  <c r="G123" i="37"/>
  <c r="F123" i="37"/>
  <c r="F122" i="37" s="1"/>
  <c r="E123" i="37"/>
  <c r="D123" i="37"/>
  <c r="C123" i="37"/>
  <c r="L122" i="37"/>
  <c r="I122" i="37"/>
  <c r="H122" i="37"/>
  <c r="G122" i="37"/>
  <c r="E122" i="37"/>
  <c r="D122" i="37"/>
  <c r="C122" i="37"/>
  <c r="O121" i="37"/>
  <c r="O120" i="37"/>
  <c r="O119" i="37"/>
  <c r="O118" i="37"/>
  <c r="O117" i="37"/>
  <c r="O116" i="37"/>
  <c r="O115" i="37"/>
  <c r="O114" i="37"/>
  <c r="O113" i="37"/>
  <c r="C109" i="37"/>
  <c r="N108" i="37"/>
  <c r="N109" i="37" s="1"/>
  <c r="M108" i="37"/>
  <c r="M109" i="37" s="1"/>
  <c r="L108" i="37"/>
  <c r="K108" i="37"/>
  <c r="K109" i="37" s="1"/>
  <c r="J108" i="37"/>
  <c r="J109" i="37" s="1"/>
  <c r="I108" i="37"/>
  <c r="I109" i="37" s="1"/>
  <c r="H108" i="37"/>
  <c r="G108" i="37"/>
  <c r="F108" i="37"/>
  <c r="E108" i="37"/>
  <c r="D108" i="37"/>
  <c r="C108" i="37"/>
  <c r="O107" i="37"/>
  <c r="O106" i="37"/>
  <c r="O105" i="37"/>
  <c r="O104" i="37"/>
  <c r="O103" i="37"/>
  <c r="O102" i="37"/>
  <c r="O101" i="37"/>
  <c r="O100" i="37"/>
  <c r="O99" i="37"/>
  <c r="O98" i="37"/>
  <c r="O97" i="37"/>
  <c r="O96" i="37"/>
  <c r="O95" i="37"/>
  <c r="O94" i="37"/>
  <c r="O93" i="37"/>
  <c r="O92" i="37"/>
  <c r="O91" i="37"/>
  <c r="N90" i="37"/>
  <c r="M90" i="37"/>
  <c r="M89" i="37" s="1"/>
  <c r="L90" i="37"/>
  <c r="L89" i="37" s="1"/>
  <c r="K90" i="37"/>
  <c r="J90" i="37"/>
  <c r="J89" i="37" s="1"/>
  <c r="I90" i="37"/>
  <c r="I89" i="37" s="1"/>
  <c r="H90" i="37"/>
  <c r="G90" i="37"/>
  <c r="G89" i="37" s="1"/>
  <c r="F90" i="37"/>
  <c r="E90" i="37"/>
  <c r="D90" i="37"/>
  <c r="D109" i="37" s="1"/>
  <c r="N89" i="37"/>
  <c r="K89" i="37"/>
  <c r="E89" i="37"/>
  <c r="D89" i="37"/>
  <c r="C89" i="37"/>
  <c r="O88" i="37"/>
  <c r="O87" i="37"/>
  <c r="O86" i="37"/>
  <c r="O85" i="37"/>
  <c r="O84" i="37"/>
  <c r="O83" i="37"/>
  <c r="O82" i="37"/>
  <c r="O81" i="37"/>
  <c r="O80" i="37"/>
  <c r="F77" i="37"/>
  <c r="C77" i="37"/>
  <c r="M76" i="37"/>
  <c r="L76" i="37"/>
  <c r="K76" i="37"/>
  <c r="J76" i="37"/>
  <c r="I76" i="37"/>
  <c r="H76" i="37"/>
  <c r="H77" i="37" s="1"/>
  <c r="G76" i="37"/>
  <c r="G77" i="37" s="1"/>
  <c r="F76" i="37"/>
  <c r="E76" i="37"/>
  <c r="D76" i="37"/>
  <c r="C76" i="37"/>
  <c r="N75" i="37"/>
  <c r="O75" i="37" s="1"/>
  <c r="O74" i="37"/>
  <c r="O73" i="37"/>
  <c r="O72" i="37"/>
  <c r="O71" i="37"/>
  <c r="O70" i="37"/>
  <c r="O69" i="37"/>
  <c r="O68" i="37"/>
  <c r="N68" i="37"/>
  <c r="O67" i="37"/>
  <c r="N66" i="37"/>
  <c r="M66" i="37"/>
  <c r="M65" i="37" s="1"/>
  <c r="L66" i="37"/>
  <c r="L65" i="37" s="1"/>
  <c r="K66" i="37"/>
  <c r="K65" i="37" s="1"/>
  <c r="J66" i="37"/>
  <c r="J65" i="37" s="1"/>
  <c r="I66" i="37"/>
  <c r="I65" i="37" s="1"/>
  <c r="H66" i="37"/>
  <c r="H65" i="37" s="1"/>
  <c r="G66" i="37"/>
  <c r="F66" i="37"/>
  <c r="E66" i="37"/>
  <c r="D66" i="37"/>
  <c r="D65" i="37" s="1"/>
  <c r="G65" i="37"/>
  <c r="F65" i="37"/>
  <c r="E65" i="37"/>
  <c r="C65" i="37"/>
  <c r="N64" i="37"/>
  <c r="O64" i="37" s="1"/>
  <c r="O63" i="37"/>
  <c r="O62" i="37"/>
  <c r="O61" i="37"/>
  <c r="O60" i="37"/>
  <c r="O59" i="37"/>
  <c r="O66" i="37" s="1"/>
  <c r="O58" i="37"/>
  <c r="O57" i="37"/>
  <c r="O56" i="37"/>
  <c r="L33" i="11"/>
  <c r="K33" i="11"/>
  <c r="J33" i="11"/>
  <c r="I33" i="11"/>
  <c r="H33" i="11"/>
  <c r="G33" i="11"/>
  <c r="F33" i="11"/>
  <c r="E33" i="11"/>
  <c r="D33" i="11"/>
  <c r="C33" i="11"/>
  <c r="B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L14" i="11"/>
  <c r="K14" i="11"/>
  <c r="J14" i="11"/>
  <c r="I14" i="11"/>
  <c r="H14" i="11"/>
  <c r="G14" i="11"/>
  <c r="F14" i="11"/>
  <c r="E14" i="11"/>
  <c r="D14" i="11"/>
  <c r="C14" i="11"/>
  <c r="B14" i="11"/>
  <c r="M13" i="11"/>
  <c r="M12" i="11"/>
  <c r="M11" i="11"/>
  <c r="M10" i="11"/>
  <c r="M9" i="11"/>
  <c r="M8" i="11"/>
  <c r="M7" i="11"/>
  <c r="M6" i="11"/>
  <c r="M5" i="11"/>
  <c r="S55" i="57"/>
  <c r="R55" i="57"/>
  <c r="Q55" i="57"/>
  <c r="P55" i="57"/>
  <c r="O55" i="57"/>
  <c r="N55" i="57"/>
  <c r="M55" i="57"/>
  <c r="L55" i="57"/>
  <c r="K55" i="57"/>
  <c r="J55" i="57"/>
  <c r="I55" i="57"/>
  <c r="H55" i="57"/>
  <c r="G55" i="57"/>
  <c r="F55" i="57"/>
  <c r="E55" i="57"/>
  <c r="D55" i="57"/>
  <c r="C55" i="57"/>
  <c r="B55" i="57"/>
  <c r="T54" i="57"/>
  <c r="T53" i="57"/>
  <c r="T52" i="57"/>
  <c r="T51" i="57"/>
  <c r="T50" i="57"/>
  <c r="T49" i="57"/>
  <c r="T48" i="57"/>
  <c r="T47" i="57"/>
  <c r="T46" i="57"/>
  <c r="T45" i="57"/>
  <c r="T44" i="57"/>
  <c r="T43" i="57"/>
  <c r="T42" i="57"/>
  <c r="T41" i="57"/>
  <c r="T40" i="57"/>
  <c r="T39" i="57"/>
  <c r="T38" i="57"/>
  <c r="T37" i="57"/>
  <c r="T36" i="57"/>
  <c r="T35" i="57"/>
  <c r="T33" i="57"/>
  <c r="T32" i="57"/>
  <c r="T31" i="57"/>
  <c r="T30" i="57"/>
  <c r="T29" i="57"/>
  <c r="T28" i="57"/>
  <c r="T27" i="57"/>
  <c r="T26" i="57"/>
  <c r="T25" i="57"/>
  <c r="T24" i="57"/>
  <c r="T23" i="57"/>
  <c r="U23" i="57" s="1"/>
  <c r="T22" i="57"/>
  <c r="T21" i="57"/>
  <c r="T20" i="57"/>
  <c r="T19" i="57"/>
  <c r="T18" i="57"/>
  <c r="T17" i="57"/>
  <c r="T16" i="57"/>
  <c r="T15" i="57"/>
  <c r="U15" i="57" s="1"/>
  <c r="S14" i="57"/>
  <c r="S34" i="57" s="1"/>
  <c r="R14" i="57"/>
  <c r="R34" i="57" s="1"/>
  <c r="Q14" i="57"/>
  <c r="Q34" i="57" s="1"/>
  <c r="P14" i="57"/>
  <c r="P34" i="57" s="1"/>
  <c r="O14" i="57"/>
  <c r="O34" i="57" s="1"/>
  <c r="N14" i="57"/>
  <c r="N34" i="57" s="1"/>
  <c r="M14" i="57"/>
  <c r="M34" i="57" s="1"/>
  <c r="L14" i="57"/>
  <c r="L34" i="57" s="1"/>
  <c r="K14" i="57"/>
  <c r="K34" i="57" s="1"/>
  <c r="J14" i="57"/>
  <c r="J34" i="57" s="1"/>
  <c r="I14" i="57"/>
  <c r="I34" i="57" s="1"/>
  <c r="H14" i="57"/>
  <c r="H34" i="57" s="1"/>
  <c r="G14" i="57"/>
  <c r="G34" i="57" s="1"/>
  <c r="F14" i="57"/>
  <c r="F34" i="57" s="1"/>
  <c r="E14" i="57"/>
  <c r="E34" i="57" s="1"/>
  <c r="D14" i="57"/>
  <c r="D34" i="57" s="1"/>
  <c r="C14" i="57"/>
  <c r="C34" i="57" s="1"/>
  <c r="B14" i="57"/>
  <c r="B34" i="57" s="1"/>
  <c r="T13" i="57"/>
  <c r="U13" i="57" s="1"/>
  <c r="T12" i="57"/>
  <c r="U12" i="57" s="1"/>
  <c r="T11" i="57"/>
  <c r="T10" i="57"/>
  <c r="T9" i="57"/>
  <c r="T8" i="57"/>
  <c r="T7" i="57"/>
  <c r="T6" i="57"/>
  <c r="L55" i="56"/>
  <c r="K55" i="56"/>
  <c r="J55" i="56"/>
  <c r="I55" i="56"/>
  <c r="H55" i="56"/>
  <c r="H56" i="56" s="1"/>
  <c r="G55" i="56"/>
  <c r="F55" i="56"/>
  <c r="E55" i="56"/>
  <c r="D55" i="56"/>
  <c r="C55" i="56"/>
  <c r="B55" i="56"/>
  <c r="N54" i="56"/>
  <c r="N53" i="56"/>
  <c r="N52" i="56"/>
  <c r="N51" i="56"/>
  <c r="N50" i="56"/>
  <c r="N49" i="56"/>
  <c r="N48" i="56"/>
  <c r="N47" i="56"/>
  <c r="N46" i="56"/>
  <c r="M55" i="56"/>
  <c r="U16" i="57"/>
  <c r="I210" i="9"/>
  <c r="H210" i="9"/>
  <c r="G210" i="9"/>
  <c r="F210" i="9"/>
  <c r="E210" i="9"/>
  <c r="D210" i="9"/>
  <c r="C210" i="9"/>
  <c r="I201" i="9"/>
  <c r="H201" i="9"/>
  <c r="G201" i="9"/>
  <c r="F201" i="9"/>
  <c r="E201" i="9"/>
  <c r="D201" i="9"/>
  <c r="C201" i="9"/>
  <c r="I192" i="9"/>
  <c r="H192" i="9"/>
  <c r="G192" i="9"/>
  <c r="F192" i="9"/>
  <c r="E192" i="9"/>
  <c r="D192" i="9"/>
  <c r="C192" i="9"/>
  <c r="I183" i="9"/>
  <c r="H183" i="9"/>
  <c r="G183" i="9"/>
  <c r="F183" i="9"/>
  <c r="E183" i="9"/>
  <c r="D183" i="9"/>
  <c r="C183" i="9"/>
  <c r="I174" i="9"/>
  <c r="H174" i="9"/>
  <c r="G174" i="9"/>
  <c r="F174" i="9"/>
  <c r="E174" i="9"/>
  <c r="D174" i="9"/>
  <c r="C174" i="9"/>
  <c r="I165" i="9"/>
  <c r="H165" i="9"/>
  <c r="G165" i="9"/>
  <c r="F165" i="9"/>
  <c r="D164" i="9"/>
  <c r="D165" i="9" s="1"/>
  <c r="C164" i="9"/>
  <c r="C165" i="9" s="1"/>
  <c r="E161" i="9"/>
  <c r="I156" i="9"/>
  <c r="H156" i="9"/>
  <c r="G156" i="9"/>
  <c r="F156" i="9"/>
  <c r="D155" i="9"/>
  <c r="D156" i="9" s="1"/>
  <c r="C155" i="9"/>
  <c r="C156" i="9" s="1"/>
  <c r="E152" i="9"/>
  <c r="I147" i="9"/>
  <c r="H147" i="9"/>
  <c r="G147" i="9"/>
  <c r="F147" i="9"/>
  <c r="E147" i="9"/>
  <c r="C147" i="9"/>
  <c r="D146" i="9"/>
  <c r="D147" i="9" s="1"/>
  <c r="I138" i="9"/>
  <c r="H138" i="9"/>
  <c r="G138" i="9"/>
  <c r="F138" i="9"/>
  <c r="E138" i="9"/>
  <c r="D136" i="9"/>
  <c r="D138" i="9" s="1"/>
  <c r="C136" i="9"/>
  <c r="C138" i="9" s="1"/>
  <c r="E133" i="9"/>
  <c r="I128" i="9"/>
  <c r="H128" i="9"/>
  <c r="G128" i="9"/>
  <c r="F128" i="9"/>
  <c r="E128" i="9"/>
  <c r="D128" i="9"/>
  <c r="C128" i="9"/>
  <c r="I118" i="9"/>
  <c r="H118" i="9"/>
  <c r="G118" i="9"/>
  <c r="F118" i="9"/>
  <c r="D116" i="9"/>
  <c r="D118" i="9" s="1"/>
  <c r="C116" i="9"/>
  <c r="C118" i="9" s="1"/>
  <c r="E114" i="9"/>
  <c r="E118" i="9" s="1"/>
  <c r="I109" i="9"/>
  <c r="H109" i="9"/>
  <c r="G109" i="9"/>
  <c r="F109" i="9"/>
  <c r="E109" i="9"/>
  <c r="C109" i="9"/>
  <c r="D108" i="9"/>
  <c r="D109" i="9" s="1"/>
  <c r="C108" i="9"/>
  <c r="I101" i="9"/>
  <c r="H101" i="9"/>
  <c r="G101" i="9"/>
  <c r="F101" i="9"/>
  <c r="E101" i="9"/>
  <c r="D100" i="9"/>
  <c r="D101" i="9" s="1"/>
  <c r="C100" i="9"/>
  <c r="C101" i="9" s="1"/>
  <c r="E98" i="9"/>
  <c r="I93" i="9"/>
  <c r="H93" i="9"/>
  <c r="G93" i="9"/>
  <c r="F93" i="9"/>
  <c r="E93" i="9"/>
  <c r="D93" i="9"/>
  <c r="C93" i="9"/>
  <c r="I85" i="9"/>
  <c r="H85" i="9"/>
  <c r="G85" i="9"/>
  <c r="F85" i="9"/>
  <c r="E85" i="9"/>
  <c r="D84" i="9"/>
  <c r="D85" i="9" s="1"/>
  <c r="C84" i="9"/>
  <c r="C85" i="9" s="1"/>
  <c r="I77" i="9"/>
  <c r="H77" i="9"/>
  <c r="G77" i="9"/>
  <c r="F77" i="9"/>
  <c r="E77" i="9"/>
  <c r="D76" i="9"/>
  <c r="D77" i="9" s="1"/>
  <c r="C76" i="9"/>
  <c r="C77" i="9" s="1"/>
  <c r="I68" i="9"/>
  <c r="H68" i="9"/>
  <c r="G68" i="9"/>
  <c r="F68" i="9"/>
  <c r="E68" i="9"/>
  <c r="D68" i="9"/>
  <c r="C68" i="9"/>
  <c r="I59" i="9"/>
  <c r="H59" i="9"/>
  <c r="G59" i="9"/>
  <c r="F59" i="9"/>
  <c r="E59" i="9"/>
  <c r="D59" i="9"/>
  <c r="C59" i="9"/>
  <c r="I49" i="9"/>
  <c r="H49" i="9"/>
  <c r="G49" i="9"/>
  <c r="F49" i="9"/>
  <c r="E49" i="9"/>
  <c r="D49" i="9"/>
  <c r="C49" i="9"/>
  <c r="I40" i="9"/>
  <c r="H40" i="9"/>
  <c r="G40" i="9"/>
  <c r="F40" i="9"/>
  <c r="E40" i="9"/>
  <c r="D40" i="9"/>
  <c r="C40" i="9"/>
  <c r="I31" i="9"/>
  <c r="H31" i="9"/>
  <c r="G31" i="9"/>
  <c r="F31" i="9"/>
  <c r="E31" i="9"/>
  <c r="D31" i="9"/>
  <c r="C31" i="9"/>
  <c r="I22" i="9"/>
  <c r="H22" i="9"/>
  <c r="G22" i="9"/>
  <c r="F22" i="9"/>
  <c r="E22" i="9"/>
  <c r="D22" i="9"/>
  <c r="C22" i="9"/>
  <c r="I13" i="9"/>
  <c r="H13" i="9"/>
  <c r="G13" i="9"/>
  <c r="F13" i="9"/>
  <c r="E13" i="9"/>
  <c r="D13" i="9"/>
  <c r="C13" i="9"/>
  <c r="D81" i="55"/>
  <c r="C81" i="55"/>
  <c r="E81" i="55" s="1"/>
  <c r="D80" i="55"/>
  <c r="D82" i="55" s="1"/>
  <c r="E79" i="55"/>
  <c r="D79" i="55"/>
  <c r="C79" i="55"/>
  <c r="E78" i="55"/>
  <c r="E77" i="55"/>
  <c r="E76" i="55"/>
  <c r="E72" i="55"/>
  <c r="E71" i="55"/>
  <c r="E70" i="55"/>
  <c r="E69" i="55"/>
  <c r="D68" i="55"/>
  <c r="C68" i="55"/>
  <c r="E67" i="55"/>
  <c r="E66" i="55"/>
  <c r="D65" i="55"/>
  <c r="C65" i="55"/>
  <c r="E65" i="55" s="1"/>
  <c r="E63" i="55"/>
  <c r="E61" i="55"/>
  <c r="E60" i="55"/>
  <c r="E59" i="55"/>
  <c r="E58" i="55"/>
  <c r="D56" i="55"/>
  <c r="C56" i="55"/>
  <c r="E54" i="55"/>
  <c r="E53" i="55"/>
  <c r="E52" i="55"/>
  <c r="E51" i="55"/>
  <c r="E50" i="55"/>
  <c r="D49" i="55"/>
  <c r="C49" i="55"/>
  <c r="E48" i="55"/>
  <c r="E47" i="55"/>
  <c r="E46" i="55"/>
  <c r="E45" i="55"/>
  <c r="E44" i="55"/>
  <c r="E43" i="55"/>
  <c r="E42" i="55"/>
  <c r="E41" i="55"/>
  <c r="E40" i="55"/>
  <c r="E39" i="55"/>
  <c r="D38" i="55"/>
  <c r="E36" i="55"/>
  <c r="E35" i="55"/>
  <c r="E34" i="55"/>
  <c r="E33" i="55"/>
  <c r="E30" i="55"/>
  <c r="E29" i="55"/>
  <c r="C28" i="55"/>
  <c r="E27" i="55"/>
  <c r="E26" i="55"/>
  <c r="E25" i="55"/>
  <c r="E24" i="55"/>
  <c r="E23" i="55"/>
  <c r="E22" i="55"/>
  <c r="D21" i="55"/>
  <c r="C21" i="55"/>
  <c r="E18" i="55"/>
  <c r="E17" i="55"/>
  <c r="E16" i="55"/>
  <c r="E14" i="55"/>
  <c r="E13" i="55"/>
  <c r="E12" i="55"/>
  <c r="E11" i="55"/>
  <c r="E10" i="55"/>
  <c r="E9" i="55"/>
  <c r="E8" i="55"/>
  <c r="E7" i="55"/>
  <c r="E6" i="55"/>
  <c r="A50" i="54"/>
  <c r="N21" i="43"/>
  <c r="P21" i="43" s="1"/>
  <c r="N17" i="43"/>
  <c r="P17" i="43" s="1"/>
  <c r="N13" i="43"/>
  <c r="N9" i="43"/>
  <c r="O9" i="43" s="1"/>
  <c r="P23" i="42"/>
  <c r="N23" i="42"/>
  <c r="P17" i="42"/>
  <c r="N17" i="42"/>
  <c r="P11" i="42"/>
  <c r="N11" i="42"/>
  <c r="O11" i="42" s="1"/>
  <c r="K11" i="27"/>
  <c r="K10" i="27"/>
  <c r="K9" i="27"/>
  <c r="K8" i="27"/>
  <c r="K7" i="27"/>
  <c r="K6" i="27"/>
  <c r="H17" i="1"/>
  <c r="G17" i="1"/>
  <c r="D17" i="1"/>
  <c r="H16" i="1"/>
  <c r="I16" i="1" s="1"/>
  <c r="G16" i="1"/>
  <c r="D16" i="1"/>
  <c r="H15" i="1"/>
  <c r="I15" i="1" s="1"/>
  <c r="G15" i="1"/>
  <c r="D15" i="1"/>
  <c r="H14" i="1"/>
  <c r="G14" i="1"/>
  <c r="D14" i="1"/>
  <c r="C14" i="1"/>
  <c r="F14" i="1" s="1"/>
  <c r="H13" i="1"/>
  <c r="C13" i="1" s="1"/>
  <c r="F13" i="1" s="1"/>
  <c r="G13" i="1"/>
  <c r="D13" i="1"/>
  <c r="H12" i="1"/>
  <c r="G12" i="1"/>
  <c r="D12" i="1"/>
  <c r="H11" i="1"/>
  <c r="C11" i="1" s="1"/>
  <c r="F11" i="1" s="1"/>
  <c r="G11" i="1"/>
  <c r="D11" i="1"/>
  <c r="H10" i="1"/>
  <c r="G10" i="1"/>
  <c r="D10" i="1"/>
  <c r="H9" i="1"/>
  <c r="C9" i="1" s="1"/>
  <c r="F9" i="1" s="1"/>
  <c r="D9" i="1"/>
  <c r="BH56" i="46"/>
  <c r="BE56" i="46"/>
  <c r="BB56" i="46"/>
  <c r="AY56" i="46"/>
  <c r="AV56" i="46"/>
  <c r="AS56" i="46"/>
  <c r="AP56" i="46"/>
  <c r="AM56" i="46"/>
  <c r="AJ56" i="46"/>
  <c r="AG56" i="46"/>
  <c r="AD56" i="46"/>
  <c r="BN55" i="46"/>
  <c r="BN52" i="46"/>
  <c r="BN50" i="46"/>
  <c r="BN48" i="46"/>
  <c r="BN56" i="46" s="1"/>
  <c r="P46" i="46"/>
  <c r="Q14" i="46" s="1"/>
  <c r="BG45" i="46"/>
  <c r="BF45" i="46"/>
  <c r="BD45" i="46"/>
  <c r="BC45" i="46"/>
  <c r="BA45" i="46"/>
  <c r="AZ45" i="46"/>
  <c r="AX45" i="46"/>
  <c r="AW45" i="46"/>
  <c r="AV45" i="46"/>
  <c r="AU45" i="46"/>
  <c r="AT45" i="46"/>
  <c r="AR45" i="46"/>
  <c r="AQ45" i="46"/>
  <c r="AP45" i="46"/>
  <c r="AO45" i="46"/>
  <c r="AN45" i="46"/>
  <c r="AL45" i="46"/>
  <c r="BM44" i="46"/>
  <c r="BN44" i="46" s="1"/>
  <c r="BH44" i="46"/>
  <c r="BM43" i="46"/>
  <c r="BN43" i="46" s="1"/>
  <c r="BH43" i="46"/>
  <c r="BM42" i="46"/>
  <c r="BN42" i="46" s="1"/>
  <c r="BH42" i="46"/>
  <c r="BE42" i="46"/>
  <c r="BB42" i="46"/>
  <c r="BM41" i="46"/>
  <c r="BN41" i="46" s="1"/>
  <c r="BH41" i="46"/>
  <c r="BE41" i="46"/>
  <c r="BB41" i="46"/>
  <c r="BM40" i="46"/>
  <c r="BN40" i="46" s="1"/>
  <c r="BH40" i="46"/>
  <c r="BE40" i="46"/>
  <c r="BB40" i="46"/>
  <c r="AY40" i="46"/>
  <c r="BM39" i="46"/>
  <c r="BN39" i="46" s="1"/>
  <c r="BH39" i="46"/>
  <c r="BE39" i="46"/>
  <c r="BB39" i="46"/>
  <c r="AY39" i="46"/>
  <c r="BM38" i="46"/>
  <c r="BN38" i="46" s="1"/>
  <c r="BH38" i="46"/>
  <c r="BE38" i="46"/>
  <c r="BB38" i="46"/>
  <c r="AY38" i="46"/>
  <c r="BM37" i="46"/>
  <c r="BN37" i="46" s="1"/>
  <c r="BH37" i="46"/>
  <c r="BE37" i="46"/>
  <c r="BB37" i="46"/>
  <c r="AY37" i="46"/>
  <c r="BM36" i="46"/>
  <c r="BN36" i="46" s="1"/>
  <c r="BH36" i="46"/>
  <c r="BE36" i="46"/>
  <c r="BB36" i="46"/>
  <c r="AY36" i="46"/>
  <c r="AS36" i="46"/>
  <c r="AM36" i="46"/>
  <c r="AJ36" i="46"/>
  <c r="AG36" i="46"/>
  <c r="AD36" i="46"/>
  <c r="BM35" i="46"/>
  <c r="BN35" i="46" s="1"/>
  <c r="BH35" i="46"/>
  <c r="BE35" i="46"/>
  <c r="BB35" i="46"/>
  <c r="AY35" i="46"/>
  <c r="AS35" i="46"/>
  <c r="BM34" i="46"/>
  <c r="BN34" i="46" s="1"/>
  <c r="BH34" i="46"/>
  <c r="BE34" i="46"/>
  <c r="BA34" i="46"/>
  <c r="BB34" i="46" s="1"/>
  <c r="AY34" i="46"/>
  <c r="AS34" i="46"/>
  <c r="AM34" i="46"/>
  <c r="AJ34" i="46"/>
  <c r="AG34" i="46"/>
  <c r="AD34" i="46"/>
  <c r="BM33" i="46"/>
  <c r="BN33" i="46" s="1"/>
  <c r="BH33" i="46"/>
  <c r="BE33" i="46"/>
  <c r="BB33" i="46"/>
  <c r="AY33" i="46"/>
  <c r="AS33" i="46"/>
  <c r="AM33" i="46"/>
  <c r="AJ33" i="46"/>
  <c r="AG33" i="46"/>
  <c r="AD33" i="46"/>
  <c r="BM32" i="46"/>
  <c r="BM45" i="46" s="1"/>
  <c r="BL32" i="46"/>
  <c r="BL45" i="46" s="1"/>
  <c r="BH32" i="46"/>
  <c r="BE32" i="46"/>
  <c r="BB32" i="46"/>
  <c r="AY32" i="46"/>
  <c r="AS32" i="46"/>
  <c r="AK32" i="46"/>
  <c r="AJ32" i="46"/>
  <c r="AG32" i="46"/>
  <c r="AD32" i="46"/>
  <c r="C32" i="46"/>
  <c r="AB31" i="46"/>
  <c r="Z31" i="46"/>
  <c r="Z45" i="46" s="1"/>
  <c r="Z46" i="46" s="1"/>
  <c r="AA15" i="46" s="1"/>
  <c r="T31" i="46"/>
  <c r="T45" i="46" s="1"/>
  <c r="T46" i="46" s="1"/>
  <c r="U9" i="46" s="1"/>
  <c r="R31" i="46"/>
  <c r="R45" i="46" s="1"/>
  <c r="R46" i="46" s="1"/>
  <c r="S11" i="46" s="1"/>
  <c r="D31" i="46"/>
  <c r="D45" i="46" s="1"/>
  <c r="D46" i="46" s="1"/>
  <c r="BM30" i="46"/>
  <c r="BN30" i="46" s="1"/>
  <c r="BH30" i="46"/>
  <c r="BM29" i="46"/>
  <c r="BN29" i="46" s="1"/>
  <c r="BH29" i="46"/>
  <c r="BM28" i="46"/>
  <c r="BN28" i="46" s="1"/>
  <c r="BH28" i="46"/>
  <c r="BM27" i="46"/>
  <c r="BN27" i="46" s="1"/>
  <c r="BH27" i="46"/>
  <c r="BM26" i="46"/>
  <c r="BN26" i="46" s="1"/>
  <c r="BH26" i="46"/>
  <c r="BM25" i="46"/>
  <c r="BN25" i="46" s="1"/>
  <c r="BH25" i="46"/>
  <c r="AS25" i="46"/>
  <c r="BM24" i="46"/>
  <c r="BN24" i="46" s="1"/>
  <c r="BH24" i="46"/>
  <c r="BE24" i="46"/>
  <c r="BB24" i="46"/>
  <c r="BM23" i="46"/>
  <c r="BN23" i="46" s="1"/>
  <c r="BH23" i="46"/>
  <c r="BE23" i="46"/>
  <c r="BB23" i="46"/>
  <c r="AY23" i="46"/>
  <c r="AS23" i="46"/>
  <c r="BN22" i="46"/>
  <c r="BH22" i="46"/>
  <c r="BE22" i="46"/>
  <c r="BB22" i="46"/>
  <c r="AY22" i="46"/>
  <c r="AS22" i="46"/>
  <c r="AM22" i="46"/>
  <c r="AJ22" i="46"/>
  <c r="AG22" i="46"/>
  <c r="AD22" i="46"/>
  <c r="BM21" i="46"/>
  <c r="BL21" i="46"/>
  <c r="BH21" i="46"/>
  <c r="BE21" i="46"/>
  <c r="BB21" i="46"/>
  <c r="AY21" i="46"/>
  <c r="AS21" i="46"/>
  <c r="AM21" i="46"/>
  <c r="AJ21" i="46"/>
  <c r="AG21" i="46"/>
  <c r="AD21" i="46"/>
  <c r="BN20" i="46"/>
  <c r="BH20" i="46"/>
  <c r="BE20" i="46"/>
  <c r="BB20" i="46"/>
  <c r="AY20" i="46"/>
  <c r="AS20" i="46"/>
  <c r="AM20" i="46"/>
  <c r="AJ20" i="46"/>
  <c r="AG20" i="46"/>
  <c r="AD20" i="46"/>
  <c r="BM19" i="46"/>
  <c r="BN19" i="46" s="1"/>
  <c r="BH19" i="46"/>
  <c r="BE19" i="46"/>
  <c r="BB19" i="46"/>
  <c r="AY19" i="46"/>
  <c r="AS19" i="46"/>
  <c r="AM19" i="46"/>
  <c r="AJ19" i="46"/>
  <c r="AG19" i="46"/>
  <c r="AD19" i="46"/>
  <c r="C19" i="46"/>
  <c r="BM18" i="46"/>
  <c r="BN18" i="46" s="1"/>
  <c r="BH18" i="46"/>
  <c r="BE18" i="46"/>
  <c r="BB18" i="46"/>
  <c r="AY18" i="46"/>
  <c r="AS18" i="46"/>
  <c r="AM18" i="46"/>
  <c r="AJ18" i="46"/>
  <c r="AG18" i="46"/>
  <c r="AD18" i="46"/>
  <c r="BM17" i="46"/>
  <c r="BN17" i="46" s="1"/>
  <c r="BH17" i="46"/>
  <c r="BE17" i="46"/>
  <c r="BB17" i="46"/>
  <c r="AY17" i="46"/>
  <c r="AS17" i="46"/>
  <c r="AM17" i="46"/>
  <c r="AJ17" i="46"/>
  <c r="AG17" i="46"/>
  <c r="AD17" i="46"/>
  <c r="C17" i="46"/>
  <c r="BG16" i="46"/>
  <c r="BG31" i="46" s="1"/>
  <c r="BG46" i="46" s="1"/>
  <c r="BF16" i="46"/>
  <c r="BF31" i="46" s="1"/>
  <c r="BF46" i="46" s="1"/>
  <c r="BD16" i="46"/>
  <c r="BD31" i="46" s="1"/>
  <c r="BD46" i="46" s="1"/>
  <c r="BC16" i="46"/>
  <c r="BC31" i="46" s="1"/>
  <c r="BC46" i="46" s="1"/>
  <c r="BA16" i="46"/>
  <c r="BA31" i="46" s="1"/>
  <c r="AZ16" i="46"/>
  <c r="AZ31" i="46" s="1"/>
  <c r="AX16" i="46"/>
  <c r="AX31" i="46" s="1"/>
  <c r="AX46" i="46" s="1"/>
  <c r="AW16" i="46"/>
  <c r="AW31" i="46" s="1"/>
  <c r="AW46" i="46" s="1"/>
  <c r="AV16" i="46"/>
  <c r="AV31" i="46" s="1"/>
  <c r="AU16" i="46"/>
  <c r="AU31" i="46" s="1"/>
  <c r="AT16" i="46"/>
  <c r="AT31" i="46" s="1"/>
  <c r="AT46" i="46" s="1"/>
  <c r="AR16" i="46"/>
  <c r="AR31" i="46" s="1"/>
  <c r="AQ16" i="46"/>
  <c r="AQ31" i="46" s="1"/>
  <c r="AP16" i="46"/>
  <c r="AP31" i="46" s="1"/>
  <c r="AP46" i="46" s="1"/>
  <c r="AO16" i="46"/>
  <c r="AO31" i="46" s="1"/>
  <c r="AN16" i="46"/>
  <c r="AN31" i="46" s="1"/>
  <c r="AN46" i="46" s="1"/>
  <c r="AL16" i="46"/>
  <c r="AL31" i="46" s="1"/>
  <c r="AL46" i="46" s="1"/>
  <c r="AK16" i="46"/>
  <c r="AK31" i="46" s="1"/>
  <c r="AI16" i="46"/>
  <c r="AI31" i="46" s="1"/>
  <c r="AH16" i="46"/>
  <c r="AH31" i="46" s="1"/>
  <c r="AF16" i="46"/>
  <c r="AF31" i="46" s="1"/>
  <c r="AE16" i="46"/>
  <c r="AE31" i="46" s="1"/>
  <c r="AC16" i="46"/>
  <c r="AC31" i="46" s="1"/>
  <c r="AB16" i="46"/>
  <c r="Z16" i="46"/>
  <c r="X16" i="46"/>
  <c r="X31" i="46" s="1"/>
  <c r="X45" i="46" s="1"/>
  <c r="X46" i="46" s="1"/>
  <c r="Y17" i="46" s="1"/>
  <c r="V16" i="46"/>
  <c r="V31" i="46" s="1"/>
  <c r="V45" i="46" s="1"/>
  <c r="V46" i="46" s="1"/>
  <c r="W14" i="46" s="1"/>
  <c r="T16" i="46"/>
  <c r="R16" i="46"/>
  <c r="P16" i="46"/>
  <c r="P31" i="46" s="1"/>
  <c r="P45" i="46" s="1"/>
  <c r="N16" i="46"/>
  <c r="N31" i="46" s="1"/>
  <c r="N45" i="46" s="1"/>
  <c r="N46" i="46" s="1"/>
  <c r="O9" i="46" s="1"/>
  <c r="L16" i="46"/>
  <c r="L31" i="46" s="1"/>
  <c r="L45" i="46" s="1"/>
  <c r="L46" i="46" s="1"/>
  <c r="M18" i="46" s="1"/>
  <c r="J16" i="46"/>
  <c r="J31" i="46" s="1"/>
  <c r="J45" i="46" s="1"/>
  <c r="J46" i="46" s="1"/>
  <c r="K20" i="46" s="1"/>
  <c r="H16" i="46"/>
  <c r="H31" i="46" s="1"/>
  <c r="H45" i="46" s="1"/>
  <c r="H46" i="46" s="1"/>
  <c r="I19" i="46" s="1"/>
  <c r="F16" i="46"/>
  <c r="F31" i="46" s="1"/>
  <c r="F45" i="46" s="1"/>
  <c r="F46" i="46" s="1"/>
  <c r="D16" i="46"/>
  <c r="B16" i="46"/>
  <c r="B31" i="46" s="1"/>
  <c r="B45" i="46" s="1"/>
  <c r="B46" i="46" s="1"/>
  <c r="C18" i="46" s="1"/>
  <c r="BM15" i="46"/>
  <c r="BN15" i="46" s="1"/>
  <c r="BH15" i="46"/>
  <c r="BE15" i="46"/>
  <c r="BB15" i="46"/>
  <c r="AY15" i="46"/>
  <c r="AS15" i="46"/>
  <c r="AM15" i="46"/>
  <c r="AJ15" i="46"/>
  <c r="AG15" i="46"/>
  <c r="AD15" i="46"/>
  <c r="C15" i="46"/>
  <c r="BM14" i="46"/>
  <c r="BN14" i="46" s="1"/>
  <c r="BH14" i="46"/>
  <c r="BE14" i="46"/>
  <c r="BB14" i="46"/>
  <c r="AY14" i="46"/>
  <c r="AS14" i="46"/>
  <c r="AM14" i="46"/>
  <c r="AJ14" i="46"/>
  <c r="AG14" i="46"/>
  <c r="AD14" i="46"/>
  <c r="BM13" i="46"/>
  <c r="BN13" i="46" s="1"/>
  <c r="BH13" i="46"/>
  <c r="BE13" i="46"/>
  <c r="BB13" i="46"/>
  <c r="AY13" i="46"/>
  <c r="BM12" i="46"/>
  <c r="BN12" i="46" s="1"/>
  <c r="BH12" i="46"/>
  <c r="BE12" i="46"/>
  <c r="BB12" i="46"/>
  <c r="AY12" i="46"/>
  <c r="BM11" i="46"/>
  <c r="BL11" i="46"/>
  <c r="BH11" i="46"/>
  <c r="BE11" i="46"/>
  <c r="BB11" i="46"/>
  <c r="AY11" i="46"/>
  <c r="AS11" i="46"/>
  <c r="AM11" i="46"/>
  <c r="AJ11" i="46"/>
  <c r="AG11" i="46"/>
  <c r="AD11" i="46"/>
  <c r="BM10" i="46"/>
  <c r="BL10" i="46"/>
  <c r="BH10" i="46"/>
  <c r="BE10" i="46"/>
  <c r="BB10" i="46"/>
  <c r="AY10" i="46"/>
  <c r="AS10" i="46"/>
  <c r="AM10" i="46"/>
  <c r="AJ10" i="46"/>
  <c r="AG10" i="46"/>
  <c r="AD10" i="46"/>
  <c r="S10" i="46"/>
  <c r="Q10" i="46"/>
  <c r="K10" i="46"/>
  <c r="BM9" i="46"/>
  <c r="BN9" i="46" s="1"/>
  <c r="BH9" i="46"/>
  <c r="BE9" i="46"/>
  <c r="BB9" i="46"/>
  <c r="AY9" i="46"/>
  <c r="AS9" i="46"/>
  <c r="AM9" i="46"/>
  <c r="AJ9" i="46"/>
  <c r="AG9" i="46"/>
  <c r="AD9" i="46"/>
  <c r="Y9" i="46"/>
  <c r="BM8" i="46"/>
  <c r="BL8" i="46"/>
  <c r="BN8" i="46" s="1"/>
  <c r="BH8" i="46"/>
  <c r="BE8" i="46"/>
  <c r="BB8" i="46"/>
  <c r="AY8" i="46"/>
  <c r="AS8" i="46"/>
  <c r="AM8" i="46"/>
  <c r="AJ8" i="46"/>
  <c r="AG8" i="46"/>
  <c r="AD8" i="46"/>
  <c r="BM7" i="46"/>
  <c r="BL7" i="46"/>
  <c r="BH7" i="46"/>
  <c r="BE7" i="46"/>
  <c r="BB7" i="46"/>
  <c r="AY7" i="46"/>
  <c r="AS7" i="46"/>
  <c r="AM7" i="46"/>
  <c r="AJ7" i="46"/>
  <c r="AG7" i="46"/>
  <c r="AD7" i="46"/>
  <c r="C7" i="46"/>
  <c r="BM6" i="46"/>
  <c r="BM16" i="46" s="1"/>
  <c r="BM31" i="46" s="1"/>
  <c r="BL6" i="46"/>
  <c r="BL16" i="46" s="1"/>
  <c r="BL31" i="46" s="1"/>
  <c r="BL46" i="46" s="1"/>
  <c r="BH6" i="46"/>
  <c r="BE6" i="46"/>
  <c r="BB6" i="46"/>
  <c r="AY6" i="46"/>
  <c r="AS6" i="46"/>
  <c r="AM6" i="46"/>
  <c r="AJ6" i="46"/>
  <c r="AG6" i="46"/>
  <c r="AD6" i="46"/>
  <c r="C6" i="46"/>
  <c r="AZ76" i="47"/>
  <c r="BA74" i="47" s="1"/>
  <c r="AX76" i="47"/>
  <c r="AV76" i="47"/>
  <c r="AW74" i="47" s="1"/>
  <c r="AT76" i="47"/>
  <c r="AU69" i="47" s="1"/>
  <c r="AR76" i="47"/>
  <c r="AS74" i="47" s="1"/>
  <c r="AO76" i="47"/>
  <c r="AN76" i="47"/>
  <c r="AJ76" i="47"/>
  <c r="AH76" i="47"/>
  <c r="AF76" i="47"/>
  <c r="AD76" i="47"/>
  <c r="AE71" i="47" s="1"/>
  <c r="AB76" i="47"/>
  <c r="AC68" i="47" s="1"/>
  <c r="Z76" i="47"/>
  <c r="X76" i="47"/>
  <c r="Y72" i="47" s="1"/>
  <c r="V76" i="47"/>
  <c r="W68" i="47" s="1"/>
  <c r="T76" i="47"/>
  <c r="U70" i="47" s="1"/>
  <c r="R76" i="47"/>
  <c r="S70" i="47" s="1"/>
  <c r="P76" i="47"/>
  <c r="Q68" i="47" s="1"/>
  <c r="N76" i="47"/>
  <c r="O70" i="47" s="1"/>
  <c r="L76" i="47"/>
  <c r="J76" i="47"/>
  <c r="K68" i="47" s="1"/>
  <c r="K76" i="47" s="1"/>
  <c r="I76" i="47"/>
  <c r="H76" i="47"/>
  <c r="I68" i="47" s="1"/>
  <c r="F76" i="47"/>
  <c r="D76" i="47"/>
  <c r="B76" i="47"/>
  <c r="AM74" i="47"/>
  <c r="BA72" i="47"/>
  <c r="BA71" i="47"/>
  <c r="AW71" i="47"/>
  <c r="AM71" i="47"/>
  <c r="AM70" i="47"/>
  <c r="AK70" i="47"/>
  <c r="AG70" i="47"/>
  <c r="AE70" i="47"/>
  <c r="AC70" i="47"/>
  <c r="AA70" i="47"/>
  <c r="Y70" i="47"/>
  <c r="Q70" i="47"/>
  <c r="BB68" i="47"/>
  <c r="BB76" i="47" s="1"/>
  <c r="AW68" i="47"/>
  <c r="AU68" i="47"/>
  <c r="AM68" i="47"/>
  <c r="AM76" i="47" s="1"/>
  <c r="C68" i="47"/>
  <c r="C76" i="47" s="1"/>
  <c r="AM66" i="47"/>
  <c r="AZ65" i="47"/>
  <c r="AX65" i="47"/>
  <c r="AT65" i="47"/>
  <c r="AT66" i="47" s="1"/>
  <c r="AU18" i="47" s="1"/>
  <c r="AR65" i="47"/>
  <c r="AR66" i="47" s="1"/>
  <c r="AS15" i="47" s="1"/>
  <c r="AP65" i="47"/>
  <c r="AN65" i="47"/>
  <c r="AL65" i="47"/>
  <c r="AM65" i="47" s="1"/>
  <c r="AJ65" i="47"/>
  <c r="AH65" i="47"/>
  <c r="AF65" i="47"/>
  <c r="AD65" i="47"/>
  <c r="AB65" i="47"/>
  <c r="X65" i="47"/>
  <c r="V65" i="47"/>
  <c r="T65" i="47"/>
  <c r="R65" i="47"/>
  <c r="P65" i="47"/>
  <c r="N65" i="47"/>
  <c r="L65" i="47"/>
  <c r="J65" i="47"/>
  <c r="H65" i="47"/>
  <c r="F65" i="47"/>
  <c r="D65" i="47"/>
  <c r="D66" i="47" s="1"/>
  <c r="E8" i="47" s="1"/>
  <c r="B65" i="47"/>
  <c r="AM64" i="47"/>
  <c r="AM63" i="47"/>
  <c r="AM62" i="47"/>
  <c r="AM61" i="47"/>
  <c r="AM60" i="47"/>
  <c r="AM59" i="47"/>
  <c r="AM58" i="47"/>
  <c r="AM57" i="47"/>
  <c r="Z57" i="47"/>
  <c r="AM56" i="47"/>
  <c r="AM55" i="47"/>
  <c r="W55" i="47"/>
  <c r="AM54" i="47"/>
  <c r="Z54" i="47"/>
  <c r="AM53" i="47"/>
  <c r="AM52" i="47"/>
  <c r="Z52" i="47"/>
  <c r="W52" i="47"/>
  <c r="BB51" i="47"/>
  <c r="BB50" i="47"/>
  <c r="BB49" i="47"/>
  <c r="BB48" i="47"/>
  <c r="BB47" i="47"/>
  <c r="AV47" i="47"/>
  <c r="BB46" i="47"/>
  <c r="BB45" i="47"/>
  <c r="BB44" i="47"/>
  <c r="BB43" i="47"/>
  <c r="AM43" i="47"/>
  <c r="BB42" i="47"/>
  <c r="AM42" i="47"/>
  <c r="BB41" i="47"/>
  <c r="AV41" i="47"/>
  <c r="AM41" i="47"/>
  <c r="Z41" i="47"/>
  <c r="W41" i="47"/>
  <c r="E41" i="47"/>
  <c r="BB40" i="47"/>
  <c r="AV40" i="47"/>
  <c r="AV65" i="47" s="1"/>
  <c r="AM40" i="47"/>
  <c r="BB39" i="47"/>
  <c r="BB65" i="47" s="1"/>
  <c r="AM39" i="47"/>
  <c r="Z39" i="47"/>
  <c r="Z65" i="47" s="1"/>
  <c r="AP38" i="47"/>
  <c r="AN38" i="47"/>
  <c r="AH38" i="47"/>
  <c r="V38" i="47"/>
  <c r="V66" i="47" s="1"/>
  <c r="W20" i="47" s="1"/>
  <c r="R38" i="47"/>
  <c r="P38" i="47"/>
  <c r="F38" i="47"/>
  <c r="BB37" i="47"/>
  <c r="BB35" i="47"/>
  <c r="BB34" i="47"/>
  <c r="BB33" i="47"/>
  <c r="AM33" i="47"/>
  <c r="BB32" i="47"/>
  <c r="AM32" i="47"/>
  <c r="BB31" i="47"/>
  <c r="AM31" i="47"/>
  <c r="Z31" i="47"/>
  <c r="BB30" i="47"/>
  <c r="AM30" i="47"/>
  <c r="BB29" i="47"/>
  <c r="AM29" i="47"/>
  <c r="BB28" i="47"/>
  <c r="BB27" i="47"/>
  <c r="BB26" i="47"/>
  <c r="BB25" i="47"/>
  <c r="BB24" i="47"/>
  <c r="AV24" i="47"/>
  <c r="BB23" i="47"/>
  <c r="AM23" i="47"/>
  <c r="BB22" i="47"/>
  <c r="AV22" i="47"/>
  <c r="AM22" i="47"/>
  <c r="Z22" i="47"/>
  <c r="W22" i="47"/>
  <c r="BB21" i="47"/>
  <c r="AM21" i="47"/>
  <c r="Z21" i="47"/>
  <c r="BB20" i="47"/>
  <c r="AV20" i="47"/>
  <c r="AM20" i="47"/>
  <c r="BB19" i="47"/>
  <c r="AM19" i="47"/>
  <c r="Z19" i="47"/>
  <c r="BB18" i="47"/>
  <c r="AM18" i="47"/>
  <c r="Z18" i="47"/>
  <c r="AZ17" i="47"/>
  <c r="AZ38" i="47" s="1"/>
  <c r="AZ66" i="47" s="1"/>
  <c r="AX17" i="47"/>
  <c r="AX38" i="47" s="1"/>
  <c r="AV17" i="47"/>
  <c r="AT17" i="47"/>
  <c r="AT38" i="47" s="1"/>
  <c r="AR17" i="47"/>
  <c r="AR38" i="47" s="1"/>
  <c r="AP17" i="47"/>
  <c r="AL17" i="47"/>
  <c r="AL38" i="47" s="1"/>
  <c r="AM38" i="47" s="1"/>
  <c r="AJ17" i="47"/>
  <c r="AJ38" i="47" s="1"/>
  <c r="AH17" i="47"/>
  <c r="AF17" i="47"/>
  <c r="AF38" i="47" s="1"/>
  <c r="AF66" i="47" s="1"/>
  <c r="AD17" i="47"/>
  <c r="AD38" i="47" s="1"/>
  <c r="AB17" i="47"/>
  <c r="AB38" i="47" s="1"/>
  <c r="X17" i="47"/>
  <c r="X38" i="47" s="1"/>
  <c r="X66" i="47" s="1"/>
  <c r="Y21" i="47" s="1"/>
  <c r="V17" i="47"/>
  <c r="T17" i="47"/>
  <c r="T38" i="47" s="1"/>
  <c r="R17" i="47"/>
  <c r="P17" i="47"/>
  <c r="N17" i="47"/>
  <c r="N38" i="47" s="1"/>
  <c r="L17" i="47"/>
  <c r="L38" i="47" s="1"/>
  <c r="J17" i="47"/>
  <c r="J38" i="47" s="1"/>
  <c r="H17" i="47"/>
  <c r="H38" i="47" s="1"/>
  <c r="F17" i="47"/>
  <c r="D17" i="47"/>
  <c r="D38" i="47" s="1"/>
  <c r="B17" i="47"/>
  <c r="B38" i="47" s="1"/>
  <c r="BB16" i="47"/>
  <c r="AM16" i="47"/>
  <c r="Z16" i="47"/>
  <c r="W16" i="47"/>
  <c r="BB15" i="47"/>
  <c r="AM15" i="47"/>
  <c r="Z15" i="47"/>
  <c r="BB14" i="47"/>
  <c r="BB13" i="47"/>
  <c r="BB12" i="47"/>
  <c r="AM12" i="47"/>
  <c r="Z12" i="47"/>
  <c r="BB11" i="47"/>
  <c r="AM11" i="47"/>
  <c r="Z11" i="47"/>
  <c r="BB10" i="47"/>
  <c r="AM10" i="47"/>
  <c r="Z10" i="47"/>
  <c r="W10" i="47"/>
  <c r="BB9" i="47"/>
  <c r="AU9" i="47"/>
  <c r="AM9" i="47"/>
  <c r="Z9" i="47"/>
  <c r="BB8" i="47"/>
  <c r="AM8" i="47"/>
  <c r="Z8" i="47"/>
  <c r="BB7" i="47"/>
  <c r="AM7" i="47"/>
  <c r="Z7" i="47"/>
  <c r="Z17" i="47" s="1"/>
  <c r="Z38" i="47" s="1"/>
  <c r="W7" i="47"/>
  <c r="E7" i="47"/>
  <c r="BN7" i="46" l="1"/>
  <c r="BN11" i="46"/>
  <c r="AG22" i="47"/>
  <c r="AG9" i="47"/>
  <c r="BC72" i="47"/>
  <c r="BC69" i="47"/>
  <c r="BC74" i="47"/>
  <c r="AI46" i="46"/>
  <c r="G33" i="46"/>
  <c r="G19" i="46"/>
  <c r="AW73" i="47"/>
  <c r="W8" i="47"/>
  <c r="U68" i="47"/>
  <c r="U76" i="47" s="1"/>
  <c r="AW70" i="47"/>
  <c r="Q18" i="46"/>
  <c r="M21" i="46"/>
  <c r="E143" i="37"/>
  <c r="U39" i="64"/>
  <c r="U53" i="64"/>
  <c r="K25" i="46"/>
  <c r="I11" i="46"/>
  <c r="W12" i="47"/>
  <c r="W21" i="47"/>
  <c r="AC71" i="47"/>
  <c r="AC76" i="47" s="1"/>
  <c r="BM46" i="46"/>
  <c r="I10" i="46"/>
  <c r="S18" i="46"/>
  <c r="K33" i="46"/>
  <c r="C153" i="37"/>
  <c r="AU71" i="47"/>
  <c r="J77" i="37"/>
  <c r="U9" i="64"/>
  <c r="U57" i="64"/>
  <c r="AS68" i="47"/>
  <c r="N66" i="47"/>
  <c r="AW76" i="47"/>
  <c r="I17" i="1"/>
  <c r="K32" i="46"/>
  <c r="U50" i="64"/>
  <c r="U56" i="64"/>
  <c r="U38" i="64"/>
  <c r="F66" i="47"/>
  <c r="L77" i="37"/>
  <c r="U35" i="64"/>
  <c r="U22" i="64"/>
  <c r="T66" i="47"/>
  <c r="U8" i="47" s="1"/>
  <c r="BA69" i="47"/>
  <c r="C20" i="46"/>
  <c r="O76" i="37"/>
  <c r="E109" i="37"/>
  <c r="U28" i="64"/>
  <c r="U42" i="64"/>
  <c r="K77" i="37"/>
  <c r="AW69" i="47"/>
  <c r="S9" i="46"/>
  <c r="M32" i="46"/>
  <c r="N65" i="37"/>
  <c r="O65" i="37" s="1"/>
  <c r="U8" i="64"/>
  <c r="W15" i="47"/>
  <c r="AU72" i="47"/>
  <c r="AW72" i="47"/>
  <c r="W9" i="46"/>
  <c r="N76" i="37"/>
  <c r="N77" i="37" s="1"/>
  <c r="U23" i="64"/>
  <c r="U11" i="64"/>
  <c r="U7" i="64"/>
  <c r="BN21" i="46"/>
  <c r="AY45" i="46"/>
  <c r="AP57" i="46"/>
  <c r="U24" i="64"/>
  <c r="U47" i="64"/>
  <c r="U34" i="64"/>
  <c r="U12" i="64"/>
  <c r="U41" i="64"/>
  <c r="AU76" i="47"/>
  <c r="AP66" i="47"/>
  <c r="AQ62" i="47" s="1"/>
  <c r="U25" i="64"/>
  <c r="U52" i="64"/>
  <c r="I77" i="37"/>
  <c r="AU73" i="47"/>
  <c r="AR46" i="46"/>
  <c r="AN66" i="47"/>
  <c r="AD16" i="46"/>
  <c r="AD31" i="46" s="1"/>
  <c r="O123" i="37"/>
  <c r="U26" i="64"/>
  <c r="H34" i="11"/>
  <c r="I143" i="37"/>
  <c r="U45" i="64"/>
  <c r="U18" i="64"/>
  <c r="AU74" i="47"/>
  <c r="AS16" i="46"/>
  <c r="AS31" i="46" s="1"/>
  <c r="Q8" i="46"/>
  <c r="BN10" i="46"/>
  <c r="S15" i="46"/>
  <c r="AU46" i="46"/>
  <c r="Q19" i="46"/>
  <c r="AU46" i="47"/>
  <c r="C11" i="46"/>
  <c r="AV46" i="46"/>
  <c r="AV57" i="46" s="1"/>
  <c r="S19" i="46"/>
  <c r="C15" i="1"/>
  <c r="F15" i="1" s="1"/>
  <c r="U46" i="64"/>
  <c r="U27" i="64"/>
  <c r="M15" i="46"/>
  <c r="O68" i="47"/>
  <c r="O76" i="47" s="1"/>
  <c r="AI45" i="46"/>
  <c r="D174" i="37"/>
  <c r="BE16" i="46"/>
  <c r="BE31" i="46" s="1"/>
  <c r="M11" i="46"/>
  <c r="E77" i="37"/>
  <c r="C143" i="37"/>
  <c r="O173" i="37"/>
  <c r="E174" i="37"/>
  <c r="U19" i="64"/>
  <c r="U33" i="64"/>
  <c r="U17" i="64"/>
  <c r="U51" i="64"/>
  <c r="AS71" i="47"/>
  <c r="U31" i="64"/>
  <c r="B66" i="47"/>
  <c r="AD66" i="47"/>
  <c r="S68" i="47"/>
  <c r="S76" i="47" s="1"/>
  <c r="AU70" i="47"/>
  <c r="AM16" i="46"/>
  <c r="AZ46" i="46"/>
  <c r="BN32" i="46"/>
  <c r="BN45" i="46" s="1"/>
  <c r="I56" i="57"/>
  <c r="B34" i="11"/>
  <c r="D77" i="37"/>
  <c r="O108" i="37"/>
  <c r="G109" i="37"/>
  <c r="D143" i="37"/>
  <c r="U29" i="64"/>
  <c r="U43" i="64"/>
  <c r="U32" i="64"/>
  <c r="J8" i="13"/>
  <c r="E11" i="13"/>
  <c r="I34" i="11"/>
  <c r="E56" i="55"/>
  <c r="E21" i="55"/>
  <c r="O17" i="43"/>
  <c r="P9" i="43"/>
  <c r="O17" i="42"/>
  <c r="O23" i="42"/>
  <c r="C17" i="1"/>
  <c r="F17" i="1" s="1"/>
  <c r="I14" i="1"/>
  <c r="U33" i="57"/>
  <c r="D56" i="56"/>
  <c r="U21" i="57"/>
  <c r="L56" i="56"/>
  <c r="N55" i="56"/>
  <c r="M56" i="56"/>
  <c r="C56" i="56"/>
  <c r="K56" i="56"/>
  <c r="U7" i="57"/>
  <c r="G56" i="56"/>
  <c r="U36" i="57"/>
  <c r="U17" i="57"/>
  <c r="U18" i="57"/>
  <c r="U39" i="57"/>
  <c r="U19" i="57"/>
  <c r="U40" i="57"/>
  <c r="U41" i="57"/>
  <c r="U44" i="57"/>
  <c r="U28" i="57"/>
  <c r="U45" i="57"/>
  <c r="U46" i="57"/>
  <c r="U49" i="57"/>
  <c r="U9" i="57"/>
  <c r="BA45" i="47"/>
  <c r="BA32" i="47"/>
  <c r="BA50" i="47"/>
  <c r="BA20" i="47"/>
  <c r="BA9" i="47"/>
  <c r="BA35" i="47"/>
  <c r="BA48" i="47"/>
  <c r="BA42" i="47"/>
  <c r="BA34" i="47"/>
  <c r="BA31" i="47"/>
  <c r="BA28" i="47"/>
  <c r="BA51" i="47"/>
  <c r="BA26" i="47"/>
  <c r="BA22" i="47"/>
  <c r="BA11" i="47"/>
  <c r="BA21" i="47"/>
  <c r="BA12" i="47"/>
  <c r="BA46" i="47"/>
  <c r="BA25" i="47"/>
  <c r="BA39" i="47"/>
  <c r="BA19" i="47"/>
  <c r="BA18" i="47"/>
  <c r="BA29" i="47"/>
  <c r="BA49" i="47"/>
  <c r="BA14" i="47"/>
  <c r="BA7" i="47"/>
  <c r="BA40" i="47"/>
  <c r="BA30" i="47"/>
  <c r="BA15" i="47"/>
  <c r="BA66" i="47"/>
  <c r="BA24" i="47"/>
  <c r="BA47" i="47"/>
  <c r="BA33" i="47"/>
  <c r="BA44" i="47"/>
  <c r="BA8" i="47"/>
  <c r="BA23" i="47"/>
  <c r="BA13" i="47"/>
  <c r="BA27" i="47"/>
  <c r="BA41" i="47"/>
  <c r="BA16" i="47"/>
  <c r="BA10" i="47"/>
  <c r="BA43" i="47"/>
  <c r="U21" i="47"/>
  <c r="U41" i="47"/>
  <c r="U39" i="47"/>
  <c r="U19" i="47"/>
  <c r="U53" i="47"/>
  <c r="U10" i="47"/>
  <c r="U9" i="47"/>
  <c r="U7" i="47"/>
  <c r="U16" i="47"/>
  <c r="U20" i="47"/>
  <c r="U11" i="47"/>
  <c r="U18" i="47"/>
  <c r="U52" i="47"/>
  <c r="AJ66" i="47"/>
  <c r="AK38" i="47" s="1"/>
  <c r="AE16" i="47"/>
  <c r="AE42" i="47"/>
  <c r="AE8" i="47"/>
  <c r="AE52" i="47"/>
  <c r="AE32" i="47"/>
  <c r="AE30" i="47"/>
  <c r="AE54" i="47"/>
  <c r="AE57" i="47"/>
  <c r="AE41" i="47"/>
  <c r="AE53" i="47"/>
  <c r="AE61" i="47"/>
  <c r="AE31" i="47"/>
  <c r="AE21" i="47"/>
  <c r="AE11" i="47"/>
  <c r="AE39" i="47"/>
  <c r="AE19" i="47"/>
  <c r="O14" i="46"/>
  <c r="U32" i="46"/>
  <c r="U19" i="46"/>
  <c r="U33" i="46"/>
  <c r="U25" i="46"/>
  <c r="U6" i="46"/>
  <c r="U21" i="46"/>
  <c r="U20" i="46"/>
  <c r="U10" i="46"/>
  <c r="U7" i="46"/>
  <c r="U18" i="46"/>
  <c r="U17" i="46"/>
  <c r="AM17" i="47"/>
  <c r="AU10" i="47"/>
  <c r="AU20" i="47"/>
  <c r="AU43" i="47"/>
  <c r="AB66" i="47"/>
  <c r="F77" i="47"/>
  <c r="G68" i="47"/>
  <c r="G76" i="47" s="1"/>
  <c r="Y10" i="46"/>
  <c r="U15" i="46"/>
  <c r="AA21" i="46"/>
  <c r="AA11" i="46"/>
  <c r="AA18" i="46"/>
  <c r="AA6" i="46"/>
  <c r="AA32" i="46"/>
  <c r="AA19" i="46"/>
  <c r="AA10" i="46"/>
  <c r="AA9" i="46"/>
  <c r="AA20" i="46"/>
  <c r="AA34" i="46"/>
  <c r="AA7" i="46"/>
  <c r="AA25" i="46"/>
  <c r="AA17" i="46"/>
  <c r="AA33" i="46"/>
  <c r="AA14" i="46"/>
  <c r="BB17" i="47"/>
  <c r="BB38" i="47" s="1"/>
  <c r="BB66" i="47" s="1"/>
  <c r="BC8" i="47" s="1"/>
  <c r="AV38" i="47"/>
  <c r="AV66" i="47" s="1"/>
  <c r="Y55" i="47"/>
  <c r="AG16" i="46"/>
  <c r="AG31" i="46" s="1"/>
  <c r="BB45" i="46"/>
  <c r="AG60" i="47"/>
  <c r="AG53" i="47"/>
  <c r="AG42" i="47"/>
  <c r="AG16" i="47"/>
  <c r="AG8" i="47"/>
  <c r="AG52" i="47"/>
  <c r="AG15" i="47"/>
  <c r="AG12" i="47"/>
  <c r="AG7" i="47"/>
  <c r="AG41" i="47"/>
  <c r="AG61" i="47"/>
  <c r="AG56" i="47"/>
  <c r="AG31" i="47"/>
  <c r="AG39" i="47"/>
  <c r="AG19" i="47"/>
  <c r="AG18" i="47"/>
  <c r="AG10" i="47"/>
  <c r="AG54" i="47"/>
  <c r="M68" i="47"/>
  <c r="M76" i="47" s="1"/>
  <c r="AD45" i="46"/>
  <c r="AD46" i="46"/>
  <c r="AD57" i="46" s="1"/>
  <c r="J122" i="37"/>
  <c r="O122" i="37" s="1"/>
  <c r="J143" i="37"/>
  <c r="M13" i="13"/>
  <c r="E13" i="13"/>
  <c r="J13" i="13"/>
  <c r="AE12" i="47"/>
  <c r="AG32" i="47"/>
  <c r="AS45" i="47"/>
  <c r="E40" i="47"/>
  <c r="E22" i="47"/>
  <c r="E15" i="47"/>
  <c r="E10" i="47"/>
  <c r="E20" i="47"/>
  <c r="E12" i="47"/>
  <c r="E11" i="47"/>
  <c r="E39" i="47"/>
  <c r="E19" i="47"/>
  <c r="E52" i="47"/>
  <c r="E21" i="47"/>
  <c r="E18" i="47"/>
  <c r="E9" i="47"/>
  <c r="Y34" i="46"/>
  <c r="Y32" i="46"/>
  <c r="Y15" i="46"/>
  <c r="Y7" i="46"/>
  <c r="Y21" i="46"/>
  <c r="Y20" i="46"/>
  <c r="Y18" i="46"/>
  <c r="Y19" i="46"/>
  <c r="Y14" i="46"/>
  <c r="Y33" i="46"/>
  <c r="Y25" i="46"/>
  <c r="Y6" i="46"/>
  <c r="Y8" i="46"/>
  <c r="AE15" i="47"/>
  <c r="AU45" i="47"/>
  <c r="G53" i="47"/>
  <c r="G41" i="47"/>
  <c r="G19" i="47"/>
  <c r="G20" i="47"/>
  <c r="G12" i="47"/>
  <c r="G15" i="47"/>
  <c r="G7" i="47"/>
  <c r="G22" i="47"/>
  <c r="G40" i="47"/>
  <c r="G39" i="47"/>
  <c r="G52" i="47"/>
  <c r="G11" i="47"/>
  <c r="G21" i="47"/>
  <c r="G18" i="47"/>
  <c r="G30" i="47"/>
  <c r="AY73" i="47"/>
  <c r="AY69" i="47"/>
  <c r="AY68" i="47"/>
  <c r="AY70" i="47"/>
  <c r="AY71" i="47"/>
  <c r="U8" i="46"/>
  <c r="C7" i="47"/>
  <c r="AG57" i="47"/>
  <c r="AY72" i="47"/>
  <c r="AA8" i="46"/>
  <c r="O174" i="37"/>
  <c r="U14" i="46"/>
  <c r="W21" i="46"/>
  <c r="W20" i="46"/>
  <c r="W32" i="46"/>
  <c r="W19" i="46"/>
  <c r="W33" i="46"/>
  <c r="W25" i="46"/>
  <c r="W6" i="46"/>
  <c r="W34" i="46"/>
  <c r="W7" i="46"/>
  <c r="W18" i="46"/>
  <c r="W17" i="46"/>
  <c r="W8" i="46"/>
  <c r="W10" i="46"/>
  <c r="W15" i="46"/>
  <c r="AI17" i="47"/>
  <c r="BN6" i="46"/>
  <c r="BN16" i="46" s="1"/>
  <c r="BN31" i="46" s="1"/>
  <c r="AU13" i="47"/>
  <c r="E30" i="47"/>
  <c r="AG58" i="47"/>
  <c r="Y68" i="47"/>
  <c r="Y76" i="47" s="1"/>
  <c r="X77" i="47"/>
  <c r="AC45" i="46"/>
  <c r="AC46" i="46"/>
  <c r="Y52" i="47"/>
  <c r="Y39" i="47"/>
  <c r="Y18" i="47"/>
  <c r="Y19" i="47"/>
  <c r="Y31" i="47"/>
  <c r="Y11" i="47"/>
  <c r="Y54" i="47"/>
  <c r="Y22" i="47"/>
  <c r="Y41" i="47"/>
  <c r="Y16" i="47"/>
  <c r="Y9" i="47"/>
  <c r="Y8" i="47"/>
  <c r="Y15" i="47"/>
  <c r="Y7" i="47"/>
  <c r="Y12" i="47"/>
  <c r="E18" i="46"/>
  <c r="E9" i="46"/>
  <c r="E8" i="46"/>
  <c r="E32" i="46"/>
  <c r="E20" i="46"/>
  <c r="E6" i="46"/>
  <c r="E19" i="46"/>
  <c r="E14" i="46"/>
  <c r="E10" i="46"/>
  <c r="E21" i="46"/>
  <c r="E15" i="46"/>
  <c r="E25" i="46"/>
  <c r="E7" i="46"/>
  <c r="E17" i="46"/>
  <c r="E33" i="46"/>
  <c r="O8" i="46"/>
  <c r="O32" i="46"/>
  <c r="O33" i="46"/>
  <c r="O25" i="46"/>
  <c r="O21" i="46"/>
  <c r="O18" i="46"/>
  <c r="O6" i="46"/>
  <c r="O19" i="46"/>
  <c r="O11" i="46"/>
  <c r="O15" i="46"/>
  <c r="O20" i="46"/>
  <c r="AE18" i="47"/>
  <c r="AE58" i="47"/>
  <c r="E53" i="47"/>
  <c r="O7" i="46"/>
  <c r="AE45" i="46"/>
  <c r="AE46" i="46" s="1"/>
  <c r="I11" i="1"/>
  <c r="I10" i="1"/>
  <c r="C10" i="1"/>
  <c r="F10" i="1" s="1"/>
  <c r="AU48" i="47"/>
  <c r="AY74" i="47"/>
  <c r="AT77" i="47"/>
  <c r="BH45" i="46"/>
  <c r="G9" i="46"/>
  <c r="G8" i="46"/>
  <c r="G18" i="46"/>
  <c r="G10" i="46"/>
  <c r="G21" i="46"/>
  <c r="G15" i="46"/>
  <c r="G14" i="46"/>
  <c r="G25" i="46"/>
  <c r="G7" i="46"/>
  <c r="G6" i="46"/>
  <c r="G32" i="46"/>
  <c r="G11" i="46"/>
  <c r="G20" i="46"/>
  <c r="P13" i="43"/>
  <c r="O13" i="43"/>
  <c r="N22" i="43"/>
  <c r="AE56" i="47"/>
  <c r="AS66" i="47"/>
  <c r="AS19" i="47"/>
  <c r="AS44" i="47"/>
  <c r="AS47" i="47"/>
  <c r="AS23" i="47"/>
  <c r="AS12" i="47"/>
  <c r="AS7" i="47"/>
  <c r="AS41" i="47"/>
  <c r="AS39" i="47"/>
  <c r="AS43" i="47"/>
  <c r="AS13" i="47"/>
  <c r="AS22" i="47"/>
  <c r="AS46" i="47"/>
  <c r="AS21" i="47"/>
  <c r="AS24" i="47"/>
  <c r="AS9" i="47"/>
  <c r="AS16" i="47"/>
  <c r="AS8" i="47"/>
  <c r="AK45" i="46"/>
  <c r="AK46" i="46" s="1"/>
  <c r="AM32" i="46"/>
  <c r="AM45" i="46" s="1"/>
  <c r="Y10" i="47"/>
  <c r="P66" i="47"/>
  <c r="AX66" i="47"/>
  <c r="AG59" i="47"/>
  <c r="AR77" i="47"/>
  <c r="O41" i="47"/>
  <c r="O30" i="47"/>
  <c r="O40" i="47"/>
  <c r="O9" i="47"/>
  <c r="O53" i="47"/>
  <c r="O10" i="47"/>
  <c r="O10" i="46"/>
  <c r="U11" i="46"/>
  <c r="K7" i="46"/>
  <c r="K19" i="46"/>
  <c r="K15" i="46"/>
  <c r="K11" i="46"/>
  <c r="K9" i="46"/>
  <c r="K8" i="46"/>
  <c r="K21" i="46"/>
  <c r="K14" i="46"/>
  <c r="K6" i="46"/>
  <c r="K18" i="46"/>
  <c r="G17" i="46"/>
  <c r="C30" i="47"/>
  <c r="C39" i="47"/>
  <c r="AG11" i="47"/>
  <c r="AH66" i="47"/>
  <c r="AI38" i="47" s="1"/>
  <c r="AE59" i="47"/>
  <c r="C16" i="47"/>
  <c r="AS18" i="47"/>
  <c r="AS42" i="47"/>
  <c r="BB16" i="46"/>
  <c r="BB31" i="46" s="1"/>
  <c r="E16" i="47"/>
  <c r="AA54" i="47"/>
  <c r="I18" i="46"/>
  <c r="I9" i="46"/>
  <c r="I33" i="46"/>
  <c r="I25" i="46"/>
  <c r="I21" i="46"/>
  <c r="I8" i="46"/>
  <c r="I7" i="46"/>
  <c r="I17" i="46"/>
  <c r="I15" i="46"/>
  <c r="I14" i="46"/>
  <c r="I32" i="46"/>
  <c r="I20" i="46"/>
  <c r="AE10" i="47"/>
  <c r="C12" i="47"/>
  <c r="G16" i="47"/>
  <c r="Y20" i="47"/>
  <c r="AS40" i="47"/>
  <c r="W76" i="47"/>
  <c r="AK71" i="47"/>
  <c r="AK68" i="47"/>
  <c r="AK76" i="47" s="1"/>
  <c r="W11" i="46"/>
  <c r="M33" i="46"/>
  <c r="M25" i="46"/>
  <c r="M17" i="46"/>
  <c r="M20" i="46"/>
  <c r="M7" i="46"/>
  <c r="M9" i="46"/>
  <c r="M8" i="46"/>
  <c r="M14" i="46"/>
  <c r="M6" i="46"/>
  <c r="M19" i="46"/>
  <c r="M10" i="46"/>
  <c r="K17" i="46"/>
  <c r="AQ46" i="46"/>
  <c r="O77" i="37"/>
  <c r="T77" i="47"/>
  <c r="AU41" i="47"/>
  <c r="AU66" i="47"/>
  <c r="AU24" i="47"/>
  <c r="AU12" i="47"/>
  <c r="AU47" i="47"/>
  <c r="AU23" i="47"/>
  <c r="AU7" i="47"/>
  <c r="AU15" i="47"/>
  <c r="AU22" i="47"/>
  <c r="AU11" i="47"/>
  <c r="AU39" i="47"/>
  <c r="AU25" i="47"/>
  <c r="AU21" i="47"/>
  <c r="AU19" i="47"/>
  <c r="AU16" i="47"/>
  <c r="AU8" i="47"/>
  <c r="AU44" i="47"/>
  <c r="AU40" i="47"/>
  <c r="AF45" i="46"/>
  <c r="AF46" i="46" s="1"/>
  <c r="E11" i="46"/>
  <c r="AG30" i="47"/>
  <c r="R66" i="47"/>
  <c r="AE7" i="47"/>
  <c r="AS11" i="47"/>
  <c r="AU42" i="47"/>
  <c r="AI70" i="47"/>
  <c r="AI71" i="47"/>
  <c r="AI68" i="47"/>
  <c r="G9" i="47"/>
  <c r="AU14" i="47"/>
  <c r="AO10" i="47"/>
  <c r="AO26" i="47"/>
  <c r="AO21" i="47"/>
  <c r="AO65" i="47"/>
  <c r="AO9" i="47"/>
  <c r="AO19" i="47"/>
  <c r="AO31" i="47"/>
  <c r="AO11" i="47"/>
  <c r="AO34" i="47"/>
  <c r="AN77" i="47"/>
  <c r="AO33" i="47"/>
  <c r="AO20" i="47"/>
  <c r="AO7" i="47"/>
  <c r="AS10" i="47"/>
  <c r="O12" i="47"/>
  <c r="AS20" i="47"/>
  <c r="AQ31" i="47"/>
  <c r="AQ66" i="47"/>
  <c r="AQ60" i="47"/>
  <c r="AE68" i="47"/>
  <c r="AE76" i="47" s="1"/>
  <c r="I6" i="46"/>
  <c r="Y11" i="46"/>
  <c r="O17" i="46"/>
  <c r="J174" i="37"/>
  <c r="J153" i="37"/>
  <c r="O153" i="37" s="1"/>
  <c r="AF77" i="47"/>
  <c r="AG68" i="47"/>
  <c r="AG76" i="47" s="1"/>
  <c r="AJ16" i="46"/>
  <c r="AJ31" i="46" s="1"/>
  <c r="Q17" i="46"/>
  <c r="Q21" i="46"/>
  <c r="Q7" i="46"/>
  <c r="Q20" i="46"/>
  <c r="Q33" i="46"/>
  <c r="Q25" i="46"/>
  <c r="Q6" i="46"/>
  <c r="Q32" i="46"/>
  <c r="Q15" i="46"/>
  <c r="Q11" i="46"/>
  <c r="AY16" i="46"/>
  <c r="AY31" i="46" s="1"/>
  <c r="AY46" i="46" s="1"/>
  <c r="AY57" i="46" s="1"/>
  <c r="AB45" i="46"/>
  <c r="AB46" i="46" s="1"/>
  <c r="Z66" i="47"/>
  <c r="AA7" i="47" s="1"/>
  <c r="AA17" i="47" s="1"/>
  <c r="AA38" i="47" s="1"/>
  <c r="Q76" i="47"/>
  <c r="BH16" i="46"/>
  <c r="BH31" i="46" s="1"/>
  <c r="Q9" i="46"/>
  <c r="AO46" i="46"/>
  <c r="O142" i="37"/>
  <c r="O143" i="37" s="1"/>
  <c r="AO38" i="47"/>
  <c r="AH45" i="46"/>
  <c r="AH46" i="46" s="1"/>
  <c r="BE45" i="46"/>
  <c r="C12" i="1"/>
  <c r="F12" i="1" s="1"/>
  <c r="I13" i="1"/>
  <c r="M77" i="37"/>
  <c r="H66" i="47"/>
  <c r="W70" i="47"/>
  <c r="V77" i="47"/>
  <c r="I12" i="1"/>
  <c r="W9" i="47"/>
  <c r="W39" i="47"/>
  <c r="W65" i="47" s="1"/>
  <c r="W19" i="47"/>
  <c r="W11" i="47"/>
  <c r="W18" i="47"/>
  <c r="J66" i="47"/>
  <c r="U54" i="57"/>
  <c r="F109" i="37"/>
  <c r="F89" i="37"/>
  <c r="AA68" i="47"/>
  <c r="AA71" i="47"/>
  <c r="AZ77" i="47"/>
  <c r="BA73" i="47"/>
  <c r="BA70" i="47"/>
  <c r="AS45" i="46"/>
  <c r="C80" i="55"/>
  <c r="C82" i="55" s="1"/>
  <c r="C38" i="55"/>
  <c r="E38" i="55" s="1"/>
  <c r="L66" i="47"/>
  <c r="L77" i="47" s="1"/>
  <c r="BC73" i="47"/>
  <c r="BC75" i="47"/>
  <c r="BC70" i="47"/>
  <c r="BC68" i="47"/>
  <c r="BC71" i="47"/>
  <c r="C33" i="46"/>
  <c r="C25" i="46"/>
  <c r="C9" i="46"/>
  <c r="C10" i="46"/>
  <c r="C8" i="46"/>
  <c r="C16" i="46" s="1"/>
  <c r="C31" i="46" s="1"/>
  <c r="C45" i="46" s="1"/>
  <c r="C46" i="46" s="1"/>
  <c r="C21" i="46"/>
  <c r="C14" i="46"/>
  <c r="E28" i="55"/>
  <c r="AM31" i="46"/>
  <c r="BA46" i="46"/>
  <c r="E56" i="56"/>
  <c r="K143" i="37"/>
  <c r="BA68" i="47"/>
  <c r="E68" i="47"/>
  <c r="E76" i="47" s="1"/>
  <c r="D77" i="47"/>
  <c r="S8" i="46"/>
  <c r="S33" i="46"/>
  <c r="S25" i="46"/>
  <c r="S6" i="46"/>
  <c r="S32" i="46"/>
  <c r="S21" i="46"/>
  <c r="S20" i="46"/>
  <c r="S17" i="46"/>
  <c r="S14" i="46"/>
  <c r="S7" i="46"/>
  <c r="U38" i="57"/>
  <c r="G174" i="37"/>
  <c r="U24" i="57"/>
  <c r="U25" i="57"/>
  <c r="F56" i="56"/>
  <c r="K153" i="37"/>
  <c r="K174" i="37"/>
  <c r="H174" i="37"/>
  <c r="I56" i="56"/>
  <c r="I174" i="37"/>
  <c r="U20" i="57"/>
  <c r="N143" i="37"/>
  <c r="J9" i="13"/>
  <c r="F143" i="37"/>
  <c r="J56" i="56"/>
  <c r="L109" i="37"/>
  <c r="O90" i="37"/>
  <c r="O109" i="37" s="1"/>
  <c r="H89" i="37"/>
  <c r="H109" i="37"/>
  <c r="E68" i="55"/>
  <c r="B56" i="56"/>
  <c r="U35" i="57"/>
  <c r="U42" i="57"/>
  <c r="M15" i="13"/>
  <c r="U22" i="57"/>
  <c r="U43" i="57"/>
  <c r="C34" i="11"/>
  <c r="M56" i="57"/>
  <c r="U26" i="57"/>
  <c r="U47" i="57"/>
  <c r="U27" i="57"/>
  <c r="U48" i="57"/>
  <c r="E49" i="55"/>
  <c r="U8" i="57"/>
  <c r="U29" i="57"/>
  <c r="U50" i="57"/>
  <c r="U30" i="57"/>
  <c r="U51" i="57"/>
  <c r="O21" i="43"/>
  <c r="U10" i="57"/>
  <c r="U31" i="57"/>
  <c r="U52" i="57"/>
  <c r="U11" i="57"/>
  <c r="U32" i="57"/>
  <c r="U53" i="57"/>
  <c r="E15" i="13"/>
  <c r="M9" i="13"/>
  <c r="J15" i="13"/>
  <c r="E7" i="13"/>
  <c r="J7" i="13"/>
  <c r="J12" i="13"/>
  <c r="J14" i="13"/>
  <c r="J16" i="13"/>
  <c r="M8" i="13"/>
  <c r="M12" i="13"/>
  <c r="M16" i="13"/>
  <c r="M14" i="13"/>
  <c r="D34" i="11"/>
  <c r="E34" i="11"/>
  <c r="F34" i="11"/>
  <c r="M33" i="11"/>
  <c r="M14" i="11"/>
  <c r="K34" i="11"/>
  <c r="L34" i="11"/>
  <c r="G34" i="11"/>
  <c r="M34" i="11"/>
  <c r="J34" i="11"/>
  <c r="G56" i="57"/>
  <c r="L56" i="57"/>
  <c r="S56" i="57"/>
  <c r="H56" i="57"/>
  <c r="J56" i="57"/>
  <c r="K56" i="57"/>
  <c r="B56" i="57"/>
  <c r="N56" i="57"/>
  <c r="C56" i="57"/>
  <c r="D56" i="57"/>
  <c r="P56" i="57"/>
  <c r="E56" i="57"/>
  <c r="Q56" i="57"/>
  <c r="F56" i="57"/>
  <c r="R56" i="57"/>
  <c r="O56" i="57"/>
  <c r="T55" i="57"/>
  <c r="U37" i="57"/>
  <c r="T14" i="57"/>
  <c r="T34" i="57" s="1"/>
  <c r="U6" i="57"/>
  <c r="AW20" i="47" l="1"/>
  <c r="AW41" i="47"/>
  <c r="AA22" i="47"/>
  <c r="BN46" i="46"/>
  <c r="BN57" i="46" s="1"/>
  <c r="O89" i="37"/>
  <c r="AQ55" i="47"/>
  <c r="C53" i="47"/>
  <c r="C8" i="47"/>
  <c r="C17" i="47" s="1"/>
  <c r="C38" i="47" s="1"/>
  <c r="C18" i="47"/>
  <c r="AQ12" i="47"/>
  <c r="AQ11" i="47"/>
  <c r="O20" i="47"/>
  <c r="O39" i="47"/>
  <c r="O65" i="47" s="1"/>
  <c r="O18" i="47"/>
  <c r="O22" i="47"/>
  <c r="O52" i="47"/>
  <c r="O19" i="47"/>
  <c r="O21" i="47"/>
  <c r="O11" i="47"/>
  <c r="O17" i="47" s="1"/>
  <c r="O38" i="47" s="1"/>
  <c r="O66" i="47" s="1"/>
  <c r="W17" i="47"/>
  <c r="W38" i="47" s="1"/>
  <c r="W66" i="47" s="1"/>
  <c r="AQ23" i="47"/>
  <c r="AQ53" i="47"/>
  <c r="AQ32" i="47"/>
  <c r="AK65" i="47"/>
  <c r="B77" i="47"/>
  <c r="AQ61" i="47"/>
  <c r="AQ64" i="47"/>
  <c r="C9" i="47"/>
  <c r="AA16" i="46"/>
  <c r="AA31" i="46" s="1"/>
  <c r="AA45" i="46" s="1"/>
  <c r="AA46" i="46" s="1"/>
  <c r="AQ21" i="47"/>
  <c r="AQ40" i="47"/>
  <c r="AQ65" i="47" s="1"/>
  <c r="AQ16" i="47"/>
  <c r="AQ7" i="47"/>
  <c r="AQ42" i="47"/>
  <c r="AQ8" i="47"/>
  <c r="AQ30" i="47"/>
  <c r="AQ18" i="47"/>
  <c r="AQ29" i="47"/>
  <c r="AQ52" i="47"/>
  <c r="AQ41" i="47"/>
  <c r="AQ43" i="47"/>
  <c r="AS76" i="47"/>
  <c r="AQ15" i="47"/>
  <c r="O7" i="47"/>
  <c r="U12" i="47"/>
  <c r="AQ19" i="47"/>
  <c r="AQ22" i="47"/>
  <c r="AI76" i="47"/>
  <c r="C20" i="47"/>
  <c r="O15" i="47"/>
  <c r="C15" i="47"/>
  <c r="U22" i="47"/>
  <c r="AQ20" i="47"/>
  <c r="AQ54" i="47"/>
  <c r="C21" i="47"/>
  <c r="AQ63" i="47"/>
  <c r="AQ59" i="47"/>
  <c r="C52" i="47"/>
  <c r="AQ10" i="47"/>
  <c r="C11" i="47"/>
  <c r="E65" i="47"/>
  <c r="E66" i="47" s="1"/>
  <c r="C41" i="47"/>
  <c r="AM46" i="46"/>
  <c r="AM57" i="46" s="1"/>
  <c r="C19" i="47"/>
  <c r="AQ39" i="47"/>
  <c r="AQ33" i="47"/>
  <c r="C40" i="47"/>
  <c r="O8" i="47"/>
  <c r="U15" i="47"/>
  <c r="U17" i="47" s="1"/>
  <c r="U38" i="47" s="1"/>
  <c r="AO22" i="47"/>
  <c r="AO16" i="47"/>
  <c r="AO32" i="47"/>
  <c r="AO23" i="47"/>
  <c r="AO66" i="47"/>
  <c r="AO15" i="47"/>
  <c r="AO8" i="47"/>
  <c r="AO18" i="47"/>
  <c r="AO29" i="47"/>
  <c r="AO12" i="47"/>
  <c r="AO30" i="47"/>
  <c r="AQ57" i="47"/>
  <c r="AQ26" i="47"/>
  <c r="C10" i="47"/>
  <c r="AQ56" i="47"/>
  <c r="AS46" i="46"/>
  <c r="AS57" i="46" s="1"/>
  <c r="AQ9" i="47"/>
  <c r="AQ58" i="47"/>
  <c r="AA76" i="47"/>
  <c r="AQ34" i="47"/>
  <c r="C22" i="47"/>
  <c r="O16" i="47"/>
  <c r="E17" i="47"/>
  <c r="E38" i="47" s="1"/>
  <c r="AE22" i="47"/>
  <c r="AE9" i="47"/>
  <c r="AE17" i="47" s="1"/>
  <c r="AE38" i="47" s="1"/>
  <c r="AE55" i="47"/>
  <c r="AE65" i="47" s="1"/>
  <c r="AE66" i="47" s="1"/>
  <c r="N77" i="47"/>
  <c r="G8" i="47"/>
  <c r="G17" i="47" s="1"/>
  <c r="G38" i="47" s="1"/>
  <c r="G10" i="47"/>
  <c r="N56" i="56"/>
  <c r="U14" i="57"/>
  <c r="U34" i="57" s="1"/>
  <c r="U55" i="57"/>
  <c r="BC23" i="47"/>
  <c r="BC18" i="47"/>
  <c r="AJ45" i="46"/>
  <c r="AJ46" i="46" s="1"/>
  <c r="AJ57" i="46" s="1"/>
  <c r="AY48" i="47"/>
  <c r="AY46" i="47"/>
  <c r="AY43" i="47"/>
  <c r="AY15" i="47"/>
  <c r="AY12" i="47"/>
  <c r="AY66" i="47"/>
  <c r="AY39" i="47"/>
  <c r="AY22" i="47"/>
  <c r="AY40" i="47"/>
  <c r="AY24" i="47"/>
  <c r="AY16" i="47"/>
  <c r="AY8" i="47"/>
  <c r="AY47" i="47"/>
  <c r="AY26" i="47"/>
  <c r="AY11" i="47"/>
  <c r="AY25" i="47"/>
  <c r="AY21" i="47"/>
  <c r="AY51" i="47"/>
  <c r="AY20" i="47"/>
  <c r="AY10" i="47"/>
  <c r="AY49" i="47"/>
  <c r="AY14" i="47"/>
  <c r="AY7" i="47"/>
  <c r="AY19" i="47"/>
  <c r="AY18" i="47"/>
  <c r="AY42" i="47"/>
  <c r="AY13" i="47"/>
  <c r="AY41" i="47"/>
  <c r="AY44" i="47"/>
  <c r="AY23" i="47"/>
  <c r="AY45" i="47"/>
  <c r="AY9" i="47"/>
  <c r="AY28" i="47"/>
  <c r="AY50" i="47"/>
  <c r="Y65" i="47"/>
  <c r="AU17" i="47"/>
  <c r="AU38" i="47" s="1"/>
  <c r="Q9" i="47"/>
  <c r="Q41" i="47"/>
  <c r="Q18" i="47"/>
  <c r="Q30" i="47"/>
  <c r="Q10" i="47"/>
  <c r="Q16" i="47"/>
  <c r="Q8" i="47"/>
  <c r="Q53" i="47"/>
  <c r="Q52" i="47"/>
  <c r="Q39" i="47"/>
  <c r="Q15" i="47"/>
  <c r="Q22" i="47"/>
  <c r="Q40" i="47"/>
  <c r="P77" i="47"/>
  <c r="Q11" i="47"/>
  <c r="Q19" i="47"/>
  <c r="Q21" i="47"/>
  <c r="Q12" i="47"/>
  <c r="Q20" i="47"/>
  <c r="Q7" i="47"/>
  <c r="BC76" i="47"/>
  <c r="BH46" i="46"/>
  <c r="BH57" i="46" s="1"/>
  <c r="O16" i="46"/>
  <c r="O31" i="46" s="1"/>
  <c r="O45" i="46" s="1"/>
  <c r="O46" i="46" s="1"/>
  <c r="BC50" i="47"/>
  <c r="BC20" i="47"/>
  <c r="BC45" i="47"/>
  <c r="AA57" i="47"/>
  <c r="AA41" i="47"/>
  <c r="AA10" i="47"/>
  <c r="AA21" i="47"/>
  <c r="AA52" i="47"/>
  <c r="AA39" i="47"/>
  <c r="AA65" i="47" s="1"/>
  <c r="AA66" i="47" s="1"/>
  <c r="AA31" i="47"/>
  <c r="AA16" i="47"/>
  <c r="AA18" i="47"/>
  <c r="AA9" i="47"/>
  <c r="AA11" i="47"/>
  <c r="BC44" i="47"/>
  <c r="G65" i="47"/>
  <c r="AG46" i="46"/>
  <c r="AG57" i="46" s="1"/>
  <c r="AG45" i="46"/>
  <c r="AJ77" i="47"/>
  <c r="BC11" i="47"/>
  <c r="BC9" i="47"/>
  <c r="BC24" i="47"/>
  <c r="BC34" i="47"/>
  <c r="M40" i="47"/>
  <c r="M9" i="47"/>
  <c r="M22" i="47"/>
  <c r="M52" i="47"/>
  <c r="M16" i="47"/>
  <c r="M8" i="47"/>
  <c r="M18" i="47"/>
  <c r="M30" i="47"/>
  <c r="M10" i="47"/>
  <c r="M41" i="47"/>
  <c r="M39" i="47"/>
  <c r="M19" i="47"/>
  <c r="M12" i="47"/>
  <c r="M7" i="47"/>
  <c r="M21" i="47"/>
  <c r="M15" i="47"/>
  <c r="M20" i="47"/>
  <c r="M11" i="47"/>
  <c r="M53" i="47"/>
  <c r="W16" i="46"/>
  <c r="W31" i="46" s="1"/>
  <c r="W45" i="46" s="1"/>
  <c r="W46" i="46" s="1"/>
  <c r="Y16" i="46"/>
  <c r="Y31" i="46" s="1"/>
  <c r="Y45" i="46" s="1"/>
  <c r="Y46" i="46" s="1"/>
  <c r="U16" i="46"/>
  <c r="U31" i="46" s="1"/>
  <c r="U45" i="46" s="1"/>
  <c r="U46" i="46" s="1"/>
  <c r="K40" i="47"/>
  <c r="K15" i="47"/>
  <c r="K12" i="47"/>
  <c r="K7" i="47"/>
  <c r="K11" i="47"/>
  <c r="K52" i="47"/>
  <c r="K21" i="47"/>
  <c r="K20" i="47"/>
  <c r="K19" i="47"/>
  <c r="K18" i="47"/>
  <c r="K30" i="47"/>
  <c r="K10" i="47"/>
  <c r="K9" i="47"/>
  <c r="K53" i="47"/>
  <c r="K41" i="47"/>
  <c r="K22" i="47"/>
  <c r="K16" i="47"/>
  <c r="J77" i="47"/>
  <c r="K39" i="47"/>
  <c r="K8" i="47"/>
  <c r="S41" i="47"/>
  <c r="R77" i="47"/>
  <c r="S52" i="47"/>
  <c r="S16" i="47"/>
  <c r="S8" i="47"/>
  <c r="S21" i="47"/>
  <c r="S40" i="47"/>
  <c r="S9" i="47"/>
  <c r="S53" i="47"/>
  <c r="S15" i="47"/>
  <c r="S7" i="47"/>
  <c r="S22" i="47"/>
  <c r="S30" i="47"/>
  <c r="S19" i="47"/>
  <c r="S20" i="47"/>
  <c r="S10" i="47"/>
  <c r="S11" i="47"/>
  <c r="S39" i="47"/>
  <c r="S18" i="47"/>
  <c r="S12" i="47"/>
  <c r="O22" i="43"/>
  <c r="P22" i="43"/>
  <c r="BC46" i="47"/>
  <c r="C65" i="47"/>
  <c r="Y17" i="47"/>
  <c r="Y38" i="47" s="1"/>
  <c r="BC39" i="47"/>
  <c r="BC65" i="47" s="1"/>
  <c r="I16" i="46"/>
  <c r="I31" i="46" s="1"/>
  <c r="I45" i="46" s="1"/>
  <c r="I46" i="46" s="1"/>
  <c r="BC19" i="47"/>
  <c r="AG65" i="47"/>
  <c r="BC26" i="47"/>
  <c r="BA17" i="47"/>
  <c r="BA38" i="47" s="1"/>
  <c r="BC25" i="47"/>
  <c r="AW66" i="47"/>
  <c r="AW7" i="47"/>
  <c r="AW17" i="47" s="1"/>
  <c r="AW38" i="47" s="1"/>
  <c r="AW15" i="47"/>
  <c r="AW12" i="47"/>
  <c r="AW49" i="47"/>
  <c r="AW19" i="47"/>
  <c r="AW14" i="47"/>
  <c r="AW11" i="47"/>
  <c r="AW45" i="47"/>
  <c r="AW44" i="47"/>
  <c r="AW46" i="47"/>
  <c r="AW42" i="47"/>
  <c r="AW18" i="47"/>
  <c r="AW48" i="47"/>
  <c r="AW43" i="47"/>
  <c r="AW21" i="47"/>
  <c r="AW13" i="47"/>
  <c r="AW8" i="47"/>
  <c r="AW39" i="47"/>
  <c r="AW65" i="47" s="1"/>
  <c r="AW23" i="47"/>
  <c r="AW16" i="47"/>
  <c r="AW9" i="47"/>
  <c r="AW10" i="47"/>
  <c r="AW25" i="47"/>
  <c r="BC33" i="47"/>
  <c r="U65" i="47"/>
  <c r="S16" i="46"/>
  <c r="S31" i="46" s="1"/>
  <c r="S45" i="46" s="1"/>
  <c r="S46" i="46" s="1"/>
  <c r="BC35" i="47"/>
  <c r="G16" i="46"/>
  <c r="G31" i="46" s="1"/>
  <c r="G45" i="46" s="1"/>
  <c r="G46" i="46" s="1"/>
  <c r="BC43" i="47"/>
  <c r="BC29" i="47"/>
  <c r="BC41" i="47"/>
  <c r="BC36" i="47"/>
  <c r="BC21" i="47"/>
  <c r="BC12" i="47"/>
  <c r="BC10" i="47"/>
  <c r="BC42" i="47"/>
  <c r="BC37" i="47"/>
  <c r="BC13" i="47"/>
  <c r="BC47" i="47"/>
  <c r="BC15" i="47"/>
  <c r="BC32" i="47"/>
  <c r="BC22" i="47"/>
  <c r="BB77" i="47"/>
  <c r="BC66" i="47"/>
  <c r="BC27" i="47"/>
  <c r="BC49" i="47"/>
  <c r="BC14" i="47"/>
  <c r="BC40" i="47"/>
  <c r="BE46" i="46"/>
  <c r="BE57" i="46" s="1"/>
  <c r="AK17" i="47"/>
  <c r="AC57" i="47"/>
  <c r="AC16" i="47"/>
  <c r="AC8" i="47"/>
  <c r="AC58" i="47"/>
  <c r="AC55" i="47"/>
  <c r="AC20" i="47"/>
  <c r="AC39" i="47"/>
  <c r="AC41" i="47"/>
  <c r="AC22" i="47"/>
  <c r="AC21" i="47"/>
  <c r="AC11" i="47"/>
  <c r="AC30" i="47"/>
  <c r="AB77" i="47"/>
  <c r="AC31" i="47"/>
  <c r="AC54" i="47"/>
  <c r="AC10" i="47"/>
  <c r="AC7" i="47"/>
  <c r="AC52" i="47"/>
  <c r="AC19" i="47"/>
  <c r="AC18" i="47"/>
  <c r="AC12" i="47"/>
  <c r="AC15" i="47"/>
  <c r="AC9" i="47"/>
  <c r="BC7" i="47"/>
  <c r="BC17" i="47" s="1"/>
  <c r="BC38" i="47" s="1"/>
  <c r="E80" i="55"/>
  <c r="E82" i="55" s="1"/>
  <c r="BC30" i="47"/>
  <c r="AS65" i="47"/>
  <c r="AG17" i="47"/>
  <c r="AG38" i="47" s="1"/>
  <c r="AA12" i="47"/>
  <c r="K16" i="46"/>
  <c r="K31" i="46" s="1"/>
  <c r="K45" i="46" s="1"/>
  <c r="K46" i="46" s="1"/>
  <c r="AY76" i="47"/>
  <c r="BC28" i="47"/>
  <c r="BA65" i="47"/>
  <c r="AA19" i="47"/>
  <c r="AW47" i="47"/>
  <c r="Q16" i="46"/>
  <c r="Q31" i="46" s="1"/>
  <c r="Q45" i="46" s="1"/>
  <c r="Q46" i="46" s="1"/>
  <c r="AK62" i="47"/>
  <c r="AK58" i="47"/>
  <c r="AK18" i="47"/>
  <c r="AK59" i="47"/>
  <c r="AK56" i="47"/>
  <c r="AK10" i="47"/>
  <c r="AK55" i="47"/>
  <c r="AK30" i="47"/>
  <c r="AK41" i="47"/>
  <c r="AK66" i="47"/>
  <c r="AK60" i="47"/>
  <c r="AK42" i="47"/>
  <c r="AK61" i="47"/>
  <c r="AK53" i="47"/>
  <c r="AK22" i="47"/>
  <c r="AK29" i="47"/>
  <c r="AK52" i="47"/>
  <c r="AK16" i="47"/>
  <c r="AK54" i="47"/>
  <c r="AK7" i="47"/>
  <c r="AK21" i="47"/>
  <c r="AK15" i="47"/>
  <c r="AK39" i="47"/>
  <c r="AK8" i="47"/>
  <c r="AK31" i="47"/>
  <c r="AK9" i="47"/>
  <c r="AK57" i="47"/>
  <c r="AK12" i="47"/>
  <c r="AK32" i="47"/>
  <c r="AK19" i="47"/>
  <c r="AK63" i="47"/>
  <c r="AK11" i="47"/>
  <c r="M16" i="46"/>
  <c r="M31" i="46" s="1"/>
  <c r="M45" i="46" s="1"/>
  <c r="M46" i="46" s="1"/>
  <c r="AS17" i="47"/>
  <c r="AS38" i="47" s="1"/>
  <c r="AW22" i="47"/>
  <c r="AA8" i="47"/>
  <c r="BB46" i="46"/>
  <c r="BB57" i="46" s="1"/>
  <c r="AV77" i="47"/>
  <c r="BA76" i="47"/>
  <c r="Z77" i="47"/>
  <c r="I52" i="47"/>
  <c r="I12" i="47"/>
  <c r="I20" i="47"/>
  <c r="I15" i="47"/>
  <c r="I7" i="47"/>
  <c r="I40" i="47"/>
  <c r="I39" i="47"/>
  <c r="I19" i="47"/>
  <c r="H77" i="47"/>
  <c r="I11" i="47"/>
  <c r="I21" i="47"/>
  <c r="I18" i="47"/>
  <c r="I30" i="47"/>
  <c r="I10" i="47"/>
  <c r="I9" i="47"/>
  <c r="I16" i="47"/>
  <c r="I8" i="47"/>
  <c r="I53" i="47"/>
  <c r="I22" i="47"/>
  <c r="I41" i="47"/>
  <c r="AU65" i="47"/>
  <c r="BC31" i="47"/>
  <c r="AX77" i="47"/>
  <c r="BC48" i="47"/>
  <c r="AW24" i="47"/>
  <c r="BC51" i="47"/>
  <c r="AA15" i="47"/>
  <c r="AI54" i="47"/>
  <c r="AI31" i="47"/>
  <c r="AI66" i="47"/>
  <c r="AI52" i="47"/>
  <c r="AI18" i="47"/>
  <c r="AI65" i="47"/>
  <c r="AI58" i="47"/>
  <c r="AI29" i="47"/>
  <c r="AI9" i="47"/>
  <c r="AI53" i="47"/>
  <c r="AI61" i="47"/>
  <c r="AI56" i="47"/>
  <c r="AI60" i="47"/>
  <c r="AI42" i="47"/>
  <c r="AI10" i="47"/>
  <c r="AI57" i="47"/>
  <c r="AI32" i="47"/>
  <c r="AI7" i="47"/>
  <c r="AI8" i="47"/>
  <c r="AI30" i="47"/>
  <c r="AI59" i="47"/>
  <c r="AH77" i="47"/>
  <c r="AI11" i="47"/>
  <c r="AI16" i="47"/>
  <c r="AI15" i="47"/>
  <c r="AI12" i="47"/>
  <c r="AI41" i="47"/>
  <c r="AI19" i="47"/>
  <c r="AI55" i="47"/>
  <c r="AI21" i="47"/>
  <c r="AI39" i="47"/>
  <c r="AI62" i="47"/>
  <c r="AI22" i="47"/>
  <c r="E16" i="46"/>
  <c r="E31" i="46" s="1"/>
  <c r="E45" i="46" s="1"/>
  <c r="E46" i="46" s="1"/>
  <c r="BC16" i="47"/>
  <c r="AW40" i="47"/>
  <c r="T56" i="57"/>
  <c r="C66" i="47" l="1"/>
  <c r="AQ17" i="47"/>
  <c r="AQ38" i="47" s="1"/>
  <c r="U56" i="57"/>
  <c r="K65" i="47"/>
  <c r="S65" i="47"/>
  <c r="AY65" i="47"/>
  <c r="AG66" i="47"/>
  <c r="Q65" i="47"/>
  <c r="AC17" i="47"/>
  <c r="AC38" i="47" s="1"/>
  <c r="S17" i="47"/>
  <c r="S38" i="47" s="1"/>
  <c r="G66" i="47"/>
  <c r="AY17" i="47"/>
  <c r="AY38" i="47" s="1"/>
  <c r="M17" i="47"/>
  <c r="M38" i="47" s="1"/>
  <c r="M65" i="47"/>
  <c r="M66" i="47" s="1"/>
  <c r="I65" i="47"/>
  <c r="I17" i="47"/>
  <c r="I38" i="47" s="1"/>
  <c r="U66" i="47"/>
  <c r="K17" i="47"/>
  <c r="K38" i="47" s="1"/>
  <c r="Q17" i="47"/>
  <c r="Q38" i="47" s="1"/>
  <c r="AC65" i="47"/>
  <c r="AC66" i="47" s="1"/>
  <c r="Y66" i="47"/>
  <c r="I66" i="47" l="1"/>
  <c r="Q66" i="47"/>
  <c r="S66" i="47"/>
  <c r="K66" i="4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<sst xmlns="http://schemas.openxmlformats.org/spreadsheetml/2006/main" count="3037" uniqueCount="556">
  <si>
    <t>Year</t>
  </si>
  <si>
    <t>Lignite</t>
  </si>
  <si>
    <t>Production</t>
  </si>
  <si>
    <t>1993-94</t>
  </si>
  <si>
    <t>1994-95</t>
  </si>
  <si>
    <t>1995-96</t>
  </si>
  <si>
    <t>1996-97</t>
  </si>
  <si>
    <t>1997-98</t>
  </si>
  <si>
    <t>1998-99</t>
  </si>
  <si>
    <t>Raw Coal</t>
  </si>
  <si>
    <t xml:space="preserve"> Coking Coal</t>
  </si>
  <si>
    <t>Hard Coke</t>
  </si>
  <si>
    <t>1999-00</t>
  </si>
  <si>
    <t>2000-01</t>
  </si>
  <si>
    <t>2001-02</t>
  </si>
  <si>
    <t xml:space="preserve">Raw Coal </t>
  </si>
  <si>
    <t>TOTAL</t>
  </si>
  <si>
    <t>1st Quarter</t>
  </si>
  <si>
    <t>2nd Quarter</t>
  </si>
  <si>
    <t>3rd Quarter</t>
  </si>
  <si>
    <t>4th Quarter</t>
  </si>
  <si>
    <t>State: Assam</t>
  </si>
  <si>
    <t>State: Chhattisgarh</t>
  </si>
  <si>
    <t xml:space="preserve"> State: Jammu &amp; Kashmir</t>
  </si>
  <si>
    <t>Quantity</t>
  </si>
  <si>
    <t>Growth (%)</t>
  </si>
  <si>
    <t>State: Jharkhand</t>
  </si>
  <si>
    <t>State: Madhya Pradesh</t>
  </si>
  <si>
    <t>State: Maharashtra</t>
  </si>
  <si>
    <t>State: Meghalaya</t>
  </si>
  <si>
    <t xml:space="preserve">                   ( Million Tonnes)</t>
  </si>
  <si>
    <t>State: Uttar Pradesh</t>
  </si>
  <si>
    <t>State: West Bengal</t>
  </si>
  <si>
    <t>ALL INDIA</t>
  </si>
  <si>
    <t>State: Tamilnadu</t>
  </si>
  <si>
    <t>State: Gujarat</t>
  </si>
  <si>
    <t>State: Rajasthan</t>
  </si>
  <si>
    <t>ECL</t>
  </si>
  <si>
    <t>BCCL</t>
  </si>
  <si>
    <t>CCL</t>
  </si>
  <si>
    <t>NCL</t>
  </si>
  <si>
    <t>WCL</t>
  </si>
  <si>
    <t>SECL</t>
  </si>
  <si>
    <t>MCL</t>
  </si>
  <si>
    <t>NEC</t>
  </si>
  <si>
    <t>SCCL</t>
  </si>
  <si>
    <t>DVC</t>
  </si>
  <si>
    <t>IISCO</t>
  </si>
  <si>
    <t>JSPL</t>
  </si>
  <si>
    <t>MEGHALAYA</t>
  </si>
  <si>
    <t>CIL</t>
  </si>
  <si>
    <t>JKML</t>
  </si>
  <si>
    <t>Companies</t>
  </si>
  <si>
    <t>DCC</t>
  </si>
  <si>
    <t>SAIL</t>
  </si>
  <si>
    <t>NLC</t>
  </si>
  <si>
    <t>Steel-I</t>
  </si>
  <si>
    <t>Steel-II</t>
  </si>
  <si>
    <t>SC-1</t>
  </si>
  <si>
    <t>Wash-I</t>
  </si>
  <si>
    <t>Wash-II</t>
  </si>
  <si>
    <t>Wash-III</t>
  </si>
  <si>
    <t>Wash-IV</t>
  </si>
  <si>
    <t>Met.Coal</t>
  </si>
  <si>
    <t>Non Met</t>
  </si>
  <si>
    <t xml:space="preserve">Tot Ckg. </t>
  </si>
  <si>
    <t>A</t>
  </si>
  <si>
    <t>B</t>
  </si>
  <si>
    <t>C</t>
  </si>
  <si>
    <t>D</t>
  </si>
  <si>
    <t>E</t>
  </si>
  <si>
    <t>F</t>
  </si>
  <si>
    <t>G</t>
  </si>
  <si>
    <t>Ungr</t>
  </si>
  <si>
    <t xml:space="preserve"> Quantity</t>
  </si>
  <si>
    <t>Meghalaya</t>
  </si>
  <si>
    <t>Total</t>
  </si>
  <si>
    <t>Mechanised</t>
  </si>
  <si>
    <t xml:space="preserve"> Manual</t>
  </si>
  <si>
    <t>Company</t>
  </si>
  <si>
    <t>Manshift</t>
  </si>
  <si>
    <t>OMS</t>
  </si>
  <si>
    <t>(Million)</t>
  </si>
  <si>
    <t>(Tonnes)</t>
  </si>
  <si>
    <t xml:space="preserve"> CIL</t>
  </si>
  <si>
    <t>OC</t>
  </si>
  <si>
    <t>UG</t>
  </si>
  <si>
    <t>GMDCL</t>
  </si>
  <si>
    <t>GIPCL</t>
  </si>
  <si>
    <t>Note: The State of Chhattisgarh is curved out of the state of Madhya Pradesh w.e.f  1st November 2000.</t>
  </si>
  <si>
    <t xml:space="preserve">Production </t>
  </si>
  <si>
    <t xml:space="preserve">All India </t>
  </si>
  <si>
    <t>2002-03</t>
  </si>
  <si>
    <t>ICML</t>
  </si>
  <si>
    <t>JSMDCL</t>
  </si>
  <si>
    <t xml:space="preserve">Coking Coal </t>
  </si>
  <si>
    <t xml:space="preserve">Non Coking Coal </t>
  </si>
  <si>
    <t>Year &amp; Quarter</t>
  </si>
  <si>
    <t>RINL</t>
  </si>
  <si>
    <t>RSMML</t>
  </si>
  <si>
    <t>Total Private</t>
  </si>
  <si>
    <t>ALL</t>
  </si>
  <si>
    <t>% of All India</t>
  </si>
  <si>
    <t>2003-04</t>
  </si>
  <si>
    <t>RINL (Est)</t>
  </si>
  <si>
    <t>RINL ( Est)</t>
  </si>
  <si>
    <t>TABLE  3.7 : SHARE OF LIGNITE PRODUCTION BY STATES IN LAST TEN YEARS.</t>
  </si>
  <si>
    <t>Coking</t>
  </si>
  <si>
    <t>Non-Coking</t>
  </si>
  <si>
    <t>2004-05</t>
  </si>
  <si>
    <t>Assam</t>
  </si>
  <si>
    <t>Chhattisgarh</t>
  </si>
  <si>
    <t>Jharkhand</t>
  </si>
  <si>
    <t>Maharashtra</t>
  </si>
  <si>
    <t>Type of Mine</t>
  </si>
  <si>
    <t>BLA</t>
  </si>
  <si>
    <t>SC-I</t>
  </si>
  <si>
    <t>Prdn</t>
  </si>
  <si>
    <t>Washed Coal(Coking)</t>
  </si>
  <si>
    <t>Middlings(N-coking)</t>
  </si>
  <si>
    <t>Washed Coal(N-coking)</t>
  </si>
  <si>
    <t>Coking Coal</t>
  </si>
  <si>
    <t>HIL</t>
  </si>
  <si>
    <t>SLV1</t>
  </si>
  <si>
    <t>SLV2</t>
  </si>
  <si>
    <t>Tot. Nckg</t>
  </si>
  <si>
    <t>2005-06</t>
  </si>
  <si>
    <t>Total Solid Fossil Fuel</t>
  </si>
  <si>
    <t>2006-07</t>
  </si>
  <si>
    <t>PIL</t>
  </si>
  <si>
    <t>JNL</t>
  </si>
  <si>
    <t>GHCL</t>
  </si>
  <si>
    <t>Share (%)</t>
  </si>
  <si>
    <t>2007-08</t>
  </si>
  <si>
    <t>TABLE 3.6 : SHARE OF RAW COAL PRODUCTION BY STATES IN LAST  TEN YEARS</t>
  </si>
  <si>
    <t>Note: The State of Jharkhand is curved out of the state of Bihar w.e.f  15th Nov.2000.</t>
  </si>
  <si>
    <t>Total Public</t>
  </si>
  <si>
    <t>Jammu &amp; Kashmir</t>
  </si>
  <si>
    <t>Madhya Pradesh</t>
  </si>
  <si>
    <t>Uttar Pradesh</t>
  </si>
  <si>
    <t>West Bengal</t>
  </si>
  <si>
    <t>All India</t>
  </si>
  <si>
    <t>SIL</t>
  </si>
  <si>
    <t>CIL Coke</t>
  </si>
  <si>
    <t>Coke Fines</t>
  </si>
  <si>
    <t>Coal fines</t>
  </si>
  <si>
    <t>Total Coking</t>
  </si>
  <si>
    <t>Total  Coal</t>
  </si>
  <si>
    <t>Type</t>
  </si>
  <si>
    <t>Total Coal</t>
  </si>
  <si>
    <t>Grade</t>
  </si>
  <si>
    <t xml:space="preserve">All India Raw Coal </t>
  </si>
  <si>
    <t>Under Ground</t>
  </si>
  <si>
    <t>Open Cast</t>
  </si>
  <si>
    <t>(Mill.Tons)</t>
  </si>
  <si>
    <t>JPL</t>
  </si>
  <si>
    <t>West  Bengal</t>
  </si>
  <si>
    <t>Tamilnadu</t>
  </si>
  <si>
    <t>Gujarat</t>
  </si>
  <si>
    <t>Rajasthan</t>
  </si>
  <si>
    <t>State</t>
  </si>
  <si>
    <t>Total Non-Coking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</si>
  <si>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</si>
  <si>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</si>
  <si>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</si>
  <si>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</si>
  <si>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</si>
  <si>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</si>
  <si>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</si>
  <si>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</si>
  <si>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</si>
  <si>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</si>
  <si>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</si>
  <si>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</si>
  <si>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</si>
  <si>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</si>
  <si>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</si>
  <si>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</si>
  <si>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</si>
  <si>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</si>
  <si>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</si>
  <si>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</si>
  <si>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</si>
  <si>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</si>
  <si>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</si>
  <si>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</si>
  <si>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</si>
  <si>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</si>
  <si>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</si>
  <si>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</si>
  <si>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</si>
  <si>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Growth*</t>
  </si>
  <si>
    <t xml:space="preserve"> Share**</t>
  </si>
  <si>
    <t>TABLE  3.6 : SHARE OF RAW COAL PRODUCTION BY STATES IN LAST TEN YEARS.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</si>
  <si>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</si>
  <si>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</si>
  <si>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</si>
  <si>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</si>
  <si>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</si>
  <si>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</si>
  <si>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</si>
  <si>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</si>
  <si>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</si>
  <si>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</si>
  <si>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</si>
  <si>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</si>
  <si>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</si>
  <si>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Arunachal Pradesh</t>
  </si>
  <si>
    <t>APMDTCL</t>
  </si>
  <si>
    <t>State: Arunachal Pradesh</t>
  </si>
  <si>
    <t>(44)</t>
  </si>
  <si>
    <t>2008-09</t>
  </si>
  <si>
    <t>SEML</t>
  </si>
  <si>
    <t>ESCL</t>
  </si>
  <si>
    <t>UML</t>
  </si>
  <si>
    <t>TSL</t>
  </si>
  <si>
    <t>Note: (1) *Growth (%) is calculated over similar period of last year.</t>
  </si>
  <si>
    <t xml:space="preserve">ALL INDIA </t>
  </si>
  <si>
    <t>Note: (1) Meghalaya / Arunachal Pradesh coal has not been graded. For Statistical purpose grade may be treated as                                 "A"/"B" non-coking coal.</t>
  </si>
  <si>
    <t>2009-10</t>
  </si>
  <si>
    <t>WBPDCL</t>
  </si>
  <si>
    <t>SC</t>
  </si>
  <si>
    <t>2010-11</t>
  </si>
  <si>
    <t>DVC EMTA</t>
  </si>
  <si>
    <t>2010-2011</t>
  </si>
  <si>
    <t>Non-coking</t>
  </si>
  <si>
    <t>2011-12</t>
  </si>
  <si>
    <t>TUML</t>
  </si>
  <si>
    <t>Note: (1) Meghalaya coal has not been graded. For Statistical purpose grade may be treated as "A"/"B" non-coking coal.</t>
  </si>
  <si>
    <t>2012-13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</si>
  <si>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</si>
  <si>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</si>
  <si>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</si>
  <si>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</si>
  <si>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</si>
  <si>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</si>
  <si>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</si>
  <si>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</si>
  <si>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</si>
  <si>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</si>
  <si>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</si>
  <si>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</si>
  <si>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</si>
  <si>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</si>
  <si>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</si>
  <si>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</si>
  <si>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</si>
  <si>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SPL</t>
  </si>
  <si>
    <t>BSIL</t>
  </si>
  <si>
    <t>KECML</t>
  </si>
  <si>
    <t>WBMDTCL</t>
  </si>
  <si>
    <t>SOVA</t>
  </si>
  <si>
    <t>VSLPPL</t>
  </si>
  <si>
    <t>BLMCL</t>
  </si>
  <si>
    <t>N-Coking</t>
  </si>
  <si>
    <t xml:space="preserve">     (Quantity in  Million Tonnes)</t>
  </si>
  <si>
    <t xml:space="preserve">RINL </t>
  </si>
  <si>
    <t xml:space="preserve">    ( Quantity in Million Tonnes )</t>
  </si>
  <si>
    <t>2013-14</t>
  </si>
  <si>
    <t>India (13-14)</t>
  </si>
  <si>
    <t>MIEL</t>
  </si>
  <si>
    <t>MPSMCL</t>
  </si>
  <si>
    <t>TUML/SVSL</t>
  </si>
  <si>
    <t>RRVUNL</t>
  </si>
  <si>
    <t>UNG</t>
  </si>
  <si>
    <t>Odisha</t>
  </si>
  <si>
    <t>PSEB-PANEM</t>
  </si>
  <si>
    <t>State: Odisha</t>
  </si>
  <si>
    <t>Block</t>
  </si>
  <si>
    <t>Tasra</t>
  </si>
  <si>
    <t>Barjora North</t>
  </si>
  <si>
    <t>Amelia North</t>
  </si>
  <si>
    <t>Belgaon</t>
  </si>
  <si>
    <t>Gare Palma IV/1</t>
  </si>
  <si>
    <t>Gare Palma IV/4</t>
  </si>
  <si>
    <t>Gare Palma IV/5</t>
  </si>
  <si>
    <t>Kathautia</t>
  </si>
  <si>
    <t>Marki Mangli I</t>
  </si>
  <si>
    <t>Moher &amp; Moher Amlori Extn</t>
  </si>
  <si>
    <t>Sarshatali</t>
  </si>
  <si>
    <t>Grand Total</t>
  </si>
  <si>
    <t>2014-15</t>
  </si>
  <si>
    <t>India (14-15)</t>
  </si>
  <si>
    <t>TABLE  3.14: GRADEWISE PRODUCTION OF COKING COAL AND NON COKING COAL BY STATES IN 2014-15</t>
  </si>
  <si>
    <t>Telangana</t>
  </si>
  <si>
    <t>State: Telangana</t>
  </si>
  <si>
    <t>India                   ( 2014-15 )</t>
  </si>
  <si>
    <t/>
  </si>
  <si>
    <t>(30)</t>
  </si>
  <si>
    <t>Ungraded</t>
  </si>
  <si>
    <t xml:space="preserve"> UG Growth (%) 
 (All India) </t>
  </si>
  <si>
    <t xml:space="preserve"> OC Growth (%) 
 (All India) </t>
  </si>
  <si>
    <t>Contd……</t>
  </si>
  <si>
    <t>2015-16</t>
  </si>
  <si>
    <t>SECL(GP-IV/2&amp;3)</t>
  </si>
  <si>
    <t>GMR</t>
  </si>
  <si>
    <t>BALCO</t>
  </si>
  <si>
    <t>JPVL</t>
  </si>
  <si>
    <t>CESC</t>
  </si>
  <si>
    <t>Maharastra</t>
  </si>
  <si>
    <t>Total Raw Coal</t>
  </si>
  <si>
    <t>2016-17</t>
  </si>
  <si>
    <t>SECL(GP-IV/1)</t>
  </si>
  <si>
    <t>HIL (GP-IV/4)</t>
  </si>
  <si>
    <t>NTPC</t>
  </si>
  <si>
    <t>RCCPL</t>
  </si>
  <si>
    <t>Pakri Barwadih</t>
  </si>
  <si>
    <t>Sial Ghogri</t>
  </si>
  <si>
    <t xml:space="preserve">          (2)  Meghalaya OBR figures are not known and not reported. </t>
  </si>
  <si>
    <t>2017-18</t>
  </si>
  <si>
    <t>Stripping
Ratio</t>
  </si>
  <si>
    <t>Over
Burden
Removal</t>
  </si>
  <si>
    <t>HIL_KOC</t>
  </si>
  <si>
    <t>Growth
(%)</t>
  </si>
  <si>
    <t>Coking
Coal</t>
  </si>
  <si>
    <t>Madhya
Pradesh</t>
  </si>
  <si>
    <t>Month</t>
  </si>
  <si>
    <t>Coal
Company</t>
  </si>
  <si>
    <t>States</t>
  </si>
  <si>
    <t>2018-19</t>
  </si>
  <si>
    <t>Uttar
Pradesh</t>
  </si>
  <si>
    <t>West
Bengal</t>
  </si>
  <si>
    <t>TSPGCL</t>
  </si>
  <si>
    <t>OCL</t>
  </si>
  <si>
    <t>AMBUJA</t>
  </si>
  <si>
    <t>Pub</t>
  </si>
  <si>
    <t>Pvt</t>
  </si>
  <si>
    <t>Dulanga</t>
  </si>
  <si>
    <t>Barjora</t>
  </si>
  <si>
    <t>Gare Palma IV/8</t>
  </si>
  <si>
    <t>Tadicherla</t>
  </si>
  <si>
    <t>Chotia II</t>
  </si>
  <si>
    <t>2019-20</t>
  </si>
  <si>
    <t>OCPL</t>
  </si>
  <si>
    <t>Manoharpur</t>
  </si>
  <si>
    <t>CSPGCL</t>
  </si>
  <si>
    <t>Note: The huge growth (122.1%) of Metallurgical Coal in 2017-18 over previous year was due to BCCL's contribution of 22.286 million tonnes of Metallurgical Coal in 2017-18.</t>
  </si>
  <si>
    <t>Wash-VI</t>
  </si>
  <si>
    <t>Wash-V</t>
  </si>
  <si>
    <t>% of Total OC</t>
  </si>
  <si>
    <t>% of Total Raw Coal</t>
  </si>
  <si>
    <t>Note:  (1)  Stripping ratio is defined as the ratio of OBR to Coal produced in Open Cast mining.</t>
  </si>
  <si>
    <t xml:space="preserve">Jharkhand </t>
  </si>
  <si>
    <t>Pachhwara North</t>
  </si>
  <si>
    <t>Tallipalli</t>
  </si>
  <si>
    <t>2020-21</t>
  </si>
  <si>
    <t>Coal &amp; Lignite</t>
  </si>
  <si>
    <t>Production of Coking Coal</t>
  </si>
  <si>
    <t>Production of Non-Coking Coal</t>
  </si>
  <si>
    <t>SECL
(GP-IV/2&amp;3)</t>
  </si>
  <si>
    <t>Jammu
&amp;
Kashmir</t>
  </si>
  <si>
    <t xml:space="preserve">All
India </t>
  </si>
  <si>
    <t>by
SCCL</t>
  </si>
  <si>
    <t>by
CIL</t>
  </si>
  <si>
    <t>UG
Share
(%) in
All India
Total</t>
  </si>
  <si>
    <t>OC
 Share
(%) in
All India
Total</t>
  </si>
  <si>
    <t>% of
Total
OC</t>
  </si>
  <si>
    <t>% of
Total
UG</t>
  </si>
  <si>
    <t>Total
Raw
Coal</t>
  </si>
  <si>
    <t>Other
Methods</t>
  </si>
  <si>
    <t xml:space="preserve">  Total
Open Cast</t>
  </si>
  <si>
    <t>Total
Under Ground</t>
  </si>
  <si>
    <t>Conventional
Board &amp; Pillar</t>
  </si>
  <si>
    <t>Mechanised
Board &amp; Pillar</t>
  </si>
  <si>
    <t>Conventional
Long Wall</t>
  </si>
  <si>
    <t>Mechanised
Long Wall</t>
  </si>
  <si>
    <t>Production
(Open Cast)</t>
  </si>
  <si>
    <t>OMS (Under Ground)</t>
  </si>
  <si>
    <t>Type
of
Mines</t>
  </si>
  <si>
    <t>Open
Cast</t>
  </si>
  <si>
    <t>Under
Ground</t>
  </si>
  <si>
    <t>(Quantity in Million Tonnes)</t>
  </si>
  <si>
    <t>OMS (Open Cast)</t>
  </si>
  <si>
    <t>OMS (Overall)</t>
  </si>
  <si>
    <t>Technology</t>
  </si>
  <si>
    <t>India</t>
  </si>
  <si>
    <t>Middlings(Coking)</t>
  </si>
  <si>
    <t xml:space="preserve">         (2) **Share (%) is calculated as ratio of yearly production.</t>
  </si>
  <si>
    <t xml:space="preserve">         (3) The above figures are related to Washeries (public &amp; private) of only coal producing companies.</t>
  </si>
  <si>
    <t>Growth over Previous Year (%)</t>
  </si>
  <si>
    <t>Share in Coking Coal (%)</t>
  </si>
  <si>
    <t>Share in Total Raw Coal (%)</t>
  </si>
  <si>
    <t xml:space="preserve"> Non-Coking Coal</t>
  </si>
  <si>
    <t>Share in Total Solid Fossil Fuel (%)</t>
  </si>
  <si>
    <t>Non-Coking Coal</t>
  </si>
  <si>
    <t>Washed Coal
(Coking)</t>
  </si>
  <si>
    <t>Washed Coal
(Non-Coking)</t>
  </si>
  <si>
    <t>Middlings
(Coking)</t>
  </si>
  <si>
    <t>Middlings
(Non-Coking)</t>
  </si>
  <si>
    <t>Washed Coal
(Non-coking)</t>
  </si>
  <si>
    <t>Middling
(Coking)</t>
  </si>
  <si>
    <t>Middling
(Non-Coking)</t>
  </si>
  <si>
    <t>DPL</t>
  </si>
  <si>
    <t>NLCIL</t>
  </si>
  <si>
    <t>GPCL</t>
  </si>
  <si>
    <t>Gangaramchak Bhadulia</t>
  </si>
  <si>
    <t>Talabira II &amp;III</t>
  </si>
  <si>
    <t>Trans Damodar</t>
  </si>
  <si>
    <t>Table 4.10 : Trends of  Company Wise Despatch of Coal &amp; Lignite During Last Three Years</t>
  </si>
  <si>
    <t>% of all India</t>
  </si>
  <si>
    <t>Total CIL</t>
  </si>
  <si>
    <t>LIGNITE :</t>
  </si>
  <si>
    <t>Total Coal &amp; Lignite</t>
  </si>
  <si>
    <t>Table-5.6 : Trend of Pit-Head Closing Stock of Raw Coal and Lignite by Companies in Last Three Years</t>
  </si>
  <si>
    <t xml:space="preserve"> 1994-95</t>
  </si>
  <si>
    <t xml:space="preserve"> 1995-96</t>
  </si>
  <si>
    <t xml:space="preserve"> 1996-97</t>
  </si>
  <si>
    <t xml:space="preserve"> 1997-98</t>
  </si>
  <si>
    <t>COAL :</t>
  </si>
  <si>
    <t>Public</t>
  </si>
  <si>
    <t>Private</t>
  </si>
  <si>
    <t>NLCL</t>
  </si>
  <si>
    <r>
      <t>1</t>
    </r>
    <r>
      <rPr>
        <b/>
        <vertAlign val="superscript"/>
        <sz val="10"/>
        <rFont val="Arial Narrow"/>
        <family val="2"/>
      </rPr>
      <t>st</t>
    </r>
    <r>
      <rPr>
        <b/>
        <sz val="10"/>
        <rFont val="Arial Narrow"/>
        <family val="2"/>
      </rPr>
      <t xml:space="preserve"> Quarter</t>
    </r>
  </si>
  <si>
    <r>
      <t>2</t>
    </r>
    <r>
      <rPr>
        <b/>
        <vertAlign val="superscript"/>
        <sz val="10"/>
        <rFont val="Arial Narrow"/>
        <family val="2"/>
      </rPr>
      <t>nd</t>
    </r>
    <r>
      <rPr>
        <b/>
        <sz val="10"/>
        <rFont val="Arial Narrow"/>
        <family val="2"/>
      </rPr>
      <t xml:space="preserve"> Quarter</t>
    </r>
  </si>
  <si>
    <r>
      <t>3</t>
    </r>
    <r>
      <rPr>
        <b/>
        <vertAlign val="superscript"/>
        <sz val="10"/>
        <rFont val="Arial Narrow"/>
        <family val="2"/>
      </rPr>
      <t xml:space="preserve">rd </t>
    </r>
    <r>
      <rPr>
        <b/>
        <sz val="10"/>
        <rFont val="Arial Narrow"/>
        <family val="2"/>
      </rPr>
      <t>Quarter</t>
    </r>
  </si>
  <si>
    <r>
      <t>4</t>
    </r>
    <r>
      <rPr>
        <b/>
        <vertAlign val="superscript"/>
        <sz val="10"/>
        <rFont val="Arial Narrow"/>
        <family val="2"/>
      </rPr>
      <t>th</t>
    </r>
    <r>
      <rPr>
        <b/>
        <sz val="10"/>
        <rFont val="Arial Narrow"/>
        <family val="2"/>
      </rPr>
      <t xml:space="preserve"> Quarter</t>
    </r>
  </si>
  <si>
    <t>Table  3.14: Company Wise Production of Different Coal Products (Coking) in Last Three Years</t>
  </si>
  <si>
    <t>(Qty. in MT)</t>
  </si>
  <si>
    <t>2021-22</t>
  </si>
  <si>
    <t>KPCL</t>
  </si>
  <si>
    <t>UTCL</t>
  </si>
  <si>
    <t>APMDCL</t>
  </si>
  <si>
    <t>Gare Palma IV/7</t>
  </si>
  <si>
    <t>Baranj I-IV, Kiloni &amp; Manohardih</t>
  </si>
  <si>
    <t>(Qty. in Tonnes)</t>
  </si>
  <si>
    <t>Suliyari</t>
  </si>
  <si>
    <t>Marki Mangli III</t>
  </si>
  <si>
    <t>Bicharpur</t>
  </si>
  <si>
    <t xml:space="preserve"> </t>
  </si>
  <si>
    <t xml:space="preserve">         2. Note: The huge growth (122.1%) of Metallurgical Coal in 2017-18 over previous year was due to BCCL's contribution of 22.286 
             million tonnes of Metallurgical Coal in 2017-18.</t>
  </si>
  <si>
    <t>Cont.</t>
  </si>
  <si>
    <t>2022-23</t>
  </si>
  <si>
    <t>Share %</t>
  </si>
  <si>
    <r>
      <t>1</t>
    </r>
    <r>
      <rPr>
        <vertAlign val="superscript"/>
        <sz val="10"/>
        <rFont val="Arial Narrow"/>
        <family val="2"/>
      </rPr>
      <t>st</t>
    </r>
    <r>
      <rPr>
        <sz val="10"/>
        <rFont val="Arial Narrow"/>
        <family val="2"/>
      </rPr>
      <t xml:space="preserve"> Quarter</t>
    </r>
  </si>
  <si>
    <r>
      <t>2</t>
    </r>
    <r>
      <rPr>
        <vertAlign val="superscript"/>
        <sz val="10"/>
        <rFont val="Arial Narrow"/>
        <family val="2"/>
      </rPr>
      <t>nd</t>
    </r>
    <r>
      <rPr>
        <sz val="10"/>
        <rFont val="Arial Narrow"/>
        <family val="2"/>
      </rPr>
      <t xml:space="preserve"> Quarter</t>
    </r>
  </si>
  <si>
    <r>
      <t>3</t>
    </r>
    <r>
      <rPr>
        <vertAlign val="superscript"/>
        <sz val="10"/>
        <rFont val="Arial Narrow"/>
        <family val="2"/>
      </rPr>
      <t>rd</t>
    </r>
    <r>
      <rPr>
        <sz val="10"/>
        <rFont val="Arial Narrow"/>
        <family val="2"/>
      </rPr>
      <t xml:space="preserve"> Quarter</t>
    </r>
  </si>
  <si>
    <r>
      <t>4</t>
    </r>
    <r>
      <rPr>
        <vertAlign val="superscript"/>
        <sz val="10"/>
        <rFont val="Arial Narrow"/>
        <family val="2"/>
      </rPr>
      <t>th</t>
    </r>
    <r>
      <rPr>
        <sz val="10"/>
        <rFont val="Arial Narrow"/>
        <family val="2"/>
      </rPr>
      <t xml:space="preserve"> Quarter</t>
    </r>
  </si>
  <si>
    <t xml:space="preserve">Table 3.5 : Quarterly Production of different type of Coal Products in last Three Years </t>
  </si>
  <si>
    <t>Table  3.4 : Quarterly Production of different type of Coal and Lignite in last Three Years</t>
  </si>
  <si>
    <t>Captive
(Power &amp; NRS)</t>
  </si>
  <si>
    <t>Commercial</t>
  </si>
  <si>
    <t>Other</t>
  </si>
  <si>
    <t>Share (%)
All India
(Month)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</si>
  <si>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</si>
  <si>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</si>
  <si>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</si>
  <si>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</si>
  <si>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</si>
  <si>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</si>
  <si>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</si>
  <si>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</si>
  <si>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</si>
  <si>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</si>
  <si>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</si>
  <si>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</si>
  <si>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Act</t>
  </si>
  <si>
    <t>End Use</t>
  </si>
  <si>
    <t>CM(SP)</t>
  </si>
  <si>
    <t>Power</t>
  </si>
  <si>
    <t>Parsa East &amp; Kanta Basan</t>
  </si>
  <si>
    <t>Gare Palma Sector-III</t>
  </si>
  <si>
    <t>CMN</t>
  </si>
  <si>
    <t>Tubed</t>
  </si>
  <si>
    <t>Chatti Bariatu</t>
  </si>
  <si>
    <t>Pachhwara Central</t>
  </si>
  <si>
    <t>PSPCL</t>
  </si>
  <si>
    <t>Amelia</t>
  </si>
  <si>
    <t>THDC</t>
  </si>
  <si>
    <t>Total Power</t>
  </si>
  <si>
    <t>Gare Palma IV/2 &amp; 3</t>
  </si>
  <si>
    <t>Comercial</t>
  </si>
  <si>
    <t>Total Comercial</t>
  </si>
  <si>
    <t>NRS</t>
  </si>
  <si>
    <t>Total NRS</t>
  </si>
  <si>
    <t>Goitoria East &amp; West</t>
  </si>
  <si>
    <t>BSMPL</t>
  </si>
  <si>
    <t>Jamkhani</t>
  </si>
  <si>
    <r>
      <rPr>
        <b/>
        <sz val="10"/>
        <rFont val="Arial Narrow"/>
        <family val="2"/>
      </rPr>
      <t>Note:</t>
    </r>
    <r>
      <rPr>
        <sz val="10"/>
        <rFont val="Arial Narrow"/>
        <family val="2"/>
      </rPr>
      <t xml:space="preserve"> Power and NRS Coal Blocks are collectively called as Captive Coal Blocks.</t>
    </r>
  </si>
  <si>
    <t>Washed
Coal
(Coking)</t>
  </si>
  <si>
    <t>Middling
 (Coking)</t>
  </si>
  <si>
    <t>Coal Gas
(Mill. NM3)</t>
  </si>
  <si>
    <t>VEDANTA</t>
  </si>
  <si>
    <t>Total
N-Coking</t>
  </si>
  <si>
    <t>Total
Non-Coking</t>
  </si>
  <si>
    <t>Metallurgical Coal</t>
  </si>
  <si>
    <t>Non-Metallurgical Coal</t>
  </si>
  <si>
    <t>Total Coking Coal</t>
  </si>
  <si>
    <t>Table 3.9 : State Wise Raw Coal Production in last Ten Years</t>
  </si>
  <si>
    <t>Table 3.10 : State Wise Lignite Production in last Ten Years</t>
  </si>
  <si>
    <t xml:space="preserve">Table 3.12 : State Wise and Company Wise Production of Raw Coal by types in last Three Years </t>
  </si>
  <si>
    <t>Table 3.18 : Grade Wise Production of Coking Coal and Non-Coking Coal in India during last Ten Years</t>
  </si>
  <si>
    <t>Table 3.20 : Company Wise Production of Raw Coal from Open Cast and Under Ground Mines in last Two Years</t>
  </si>
  <si>
    <t>Table 3.22 : Company Wise Over Burden Removal and Stripping Ratio in Revenue Mines in last Three Years</t>
  </si>
  <si>
    <t>Table  3.25 : State Wise Production of Raw Coal by type of Mines in last Three Years</t>
  </si>
  <si>
    <t>Table 3.26 : Raw Coal Production of Coal Blocks Vested/Allocated as per CMN &amp; CM(SP) Act during last Three Years</t>
  </si>
  <si>
    <t xml:space="preserve"> State</t>
  </si>
  <si>
    <t>Table  3.1: Production of Raw Coal and Lignite in Last Ten Years</t>
  </si>
  <si>
    <t xml:space="preserve">Table 3.3 : Production of Different type of Coal Products in last Ten Years </t>
  </si>
  <si>
    <t>Table 3.2 : Production of Different type of Raw Coal in last Ten Years</t>
  </si>
  <si>
    <t>Table 3.11 : Company Wise Production of Coal in last Three Years</t>
  </si>
  <si>
    <t>Table  3.14 : State Wise Production of Lignite in last Five Years</t>
  </si>
  <si>
    <t>Table 3.23 : OMS in Open Cast &amp; Under Ground Mines (CIL &amp; SCCL) during last Ten Years</t>
  </si>
  <si>
    <t>Table 3.24 : Company Wise Production, Manshifts &amp; OMS (CIL &amp; SCCL) by type of Mines in last Three Years</t>
  </si>
  <si>
    <t>Non
Coking</t>
  </si>
  <si>
    <t>2023-24</t>
  </si>
  <si>
    <t>Note: (1) *Growth (%) is calculated over similar period of last year. (2) **Share (%) is calculated as ratio of yearly production.</t>
  </si>
  <si>
    <t>Total Lignite</t>
  </si>
  <si>
    <t>Item</t>
  </si>
  <si>
    <t>JPL_IV/1</t>
  </si>
  <si>
    <t>JPL_IV/2 &amp; 3</t>
  </si>
  <si>
    <t>JSPL_GP IV/6</t>
  </si>
  <si>
    <t>NTPC_PB</t>
  </si>
  <si>
    <t>NTPC_CB</t>
  </si>
  <si>
    <t>NTPC_KD</t>
  </si>
  <si>
    <t>AIPL</t>
  </si>
  <si>
    <t>NTPC_DG</t>
  </si>
  <si>
    <t>NTPC_TP</t>
  </si>
  <si>
    <t>JSPL_UC</t>
  </si>
  <si>
    <t>TGGENCO</t>
  </si>
  <si>
    <t>WBPDCL_GB</t>
  </si>
  <si>
    <t>WBPDCL_B</t>
  </si>
  <si>
    <t>WBPDCL_BN</t>
  </si>
  <si>
    <t>WBPDCL_T</t>
  </si>
  <si>
    <t>NALCO</t>
  </si>
  <si>
    <t>WBPDCL_PN</t>
  </si>
  <si>
    <t>Tara (East &amp; West)</t>
  </si>
  <si>
    <t>Kerandri</t>
  </si>
  <si>
    <t>Utkal D</t>
  </si>
  <si>
    <t>Gare Palma IV/2&amp;3</t>
  </si>
  <si>
    <t>Gare Palma IV/6</t>
  </si>
  <si>
    <t>Takli Jena Bellora</t>
  </si>
  <si>
    <t>Utkal C</t>
  </si>
  <si>
    <t xml:space="preserve">                 </t>
  </si>
  <si>
    <t xml:space="preserve">          (3 ) While calculating stripping ratio, if OBR is not reported, corresponding production was excluded to find  public/private sector OBR </t>
  </si>
  <si>
    <t xml:space="preserve">% of Total </t>
  </si>
  <si>
    <r>
      <t>3</t>
    </r>
    <r>
      <rPr>
        <b/>
        <vertAlign val="superscript"/>
        <sz val="10"/>
        <rFont val="Arial Narrow"/>
        <family val="2"/>
      </rPr>
      <t>rd</t>
    </r>
    <r>
      <rPr>
        <b/>
        <sz val="10"/>
        <rFont val="Arial Narrow"/>
        <family val="2"/>
      </rPr>
      <t xml:space="preserve"> Quarter</t>
    </r>
  </si>
  <si>
    <t>Table 3.19 : Production of Raw Coal from Open Cast and Under Ground Mines in last Ten Years</t>
  </si>
  <si>
    <t>Share
%</t>
  </si>
  <si>
    <t>2024-25</t>
  </si>
  <si>
    <t>IISCOR</t>
  </si>
  <si>
    <t>FCPL</t>
  </si>
  <si>
    <t>Table 3.6 : Month Wise Production of different type of Raw Coal and Lignite during 2024-25</t>
  </si>
  <si>
    <t>Table 3.7 : Month Wise Raw Coal Production CIL, SCCL, Captive, Commercial &amp; Others during 2024-25</t>
  </si>
  <si>
    <t>sdfs</t>
  </si>
  <si>
    <t xml:space="preserve">Table 3.13 : State Wise Production of Raw Coal by type (Coking &amp; Non-coking) in last Five Years </t>
  </si>
  <si>
    <t>Table 3.15 : Grade Wise Production of Coking Coal by Companies during 2024-25</t>
  </si>
  <si>
    <t>Table 3.16 : Grade Wise Raw Coal Production of Non-coking Coal by Companies during 2024-25</t>
  </si>
  <si>
    <t>Table 3.17 : Grade Wise Production of Coking Coal and Non-coking Coal by States in 2024-25</t>
  </si>
  <si>
    <t>Table 3.27 : Month Wise and Grade Wise Coking Coal Production during 2024-25</t>
  </si>
  <si>
    <t>Table 3.28 : Month Wise and Grade Wise Non-coking Coal Production during 2024-25</t>
  </si>
  <si>
    <t>Parsa</t>
  </si>
  <si>
    <t>Bhaskarpara</t>
  </si>
  <si>
    <t>Rajhara North</t>
  </si>
  <si>
    <t>Table 3.21 : Company Wise Production of Raw Coal from Open Cast and Under Ground Mines by Technology Wise in 2024-25</t>
  </si>
  <si>
    <t>Table 3.8: Month Wise Production of different type of Coal Products during 2024-25</t>
  </si>
  <si>
    <t>Table  3.14a: Company Wise Production of Lignite in India during last Five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</si>
</sst>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0.00_)"/>
    <numFmt numFmtId="165" formatCode="0.000_)"/>
    <numFmt numFmtId="166" formatCode="0.000"/>
    <numFmt numFmtId="167" formatCode="0.0"/>
    <numFmt numFmtId="168" formatCode="0.000;[Red]0.000"/>
    <numFmt numFmtId="169" formatCode="0_);\(0\)"/>
    <numFmt numFmtId="170" formatCode="[Blue]\▲0.00%;[Red]\▼0.00%"/>
    <numFmt numFmtId="171" formatCode="[Blue]\▲00.00%;[Red]\▼00.00%"/>
    <numFmt numFmtId="172" formatCode="[$-409]mmm\-yy;@"/>
    <numFmt numFmtId="173" formatCode="[Blue]\▲00.00&quot;%&quot;;[Red]\▼00.00&quot;%&quot;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Helvetica Narrow"/>
      <family val="2"/>
    </font>
    <font>
      <b/>
      <sz val="10"/>
      <name val="Helvetica Narrow"/>
      <family val="2"/>
    </font>
    <font>
      <b/>
      <sz val="11"/>
      <name val="Helvetica Narrow"/>
      <family val="2"/>
    </font>
    <font>
      <sz val="11"/>
      <color indexed="8"/>
      <name val="Calibri"/>
      <family val="2"/>
    </font>
    <font>
      <sz val="10"/>
      <color indexed="12"/>
      <name val="Courier"/>
      <family val="3"/>
    </font>
    <font>
      <sz val="10"/>
      <name val="Times New Roman"/>
      <family val="1"/>
    </font>
    <font>
      <sz val="11"/>
      <name val="Helvetica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.5"/>
      <name val="Arial Narrow"/>
      <family val="2"/>
    </font>
    <font>
      <sz val="9.5"/>
      <name val="Arial Narrow"/>
      <family val="2"/>
    </font>
    <font>
      <sz val="10.5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FF"/>
      <name val="Arial Narrow"/>
      <family val="2"/>
    </font>
    <font>
      <sz val="10"/>
      <color rgb="FFFF0000"/>
      <name val="Arial Narrow"/>
      <family val="2"/>
    </font>
    <font>
      <sz val="10"/>
      <color rgb="FF00B050"/>
      <name val="Arial Narrow"/>
      <family val="2"/>
    </font>
    <font>
      <b/>
      <sz val="11"/>
      <color rgb="FF000099"/>
      <name val="Arial Narrow"/>
      <family val="2"/>
    </font>
    <font>
      <sz val="9"/>
      <name val="Arial Narrow"/>
      <family val="2"/>
    </font>
    <font>
      <b/>
      <sz val="10"/>
      <color rgb="FF00B050"/>
      <name val="Arial Narrow"/>
      <family val="2"/>
    </font>
    <font>
      <b/>
      <vertAlign val="superscript"/>
      <sz val="10"/>
      <name val="Arial Narrow"/>
      <family val="2"/>
    </font>
    <font>
      <b/>
      <sz val="10"/>
      <color theme="0"/>
      <name val="Arial Narrow"/>
      <family val="2"/>
    </font>
    <font>
      <b/>
      <sz val="12"/>
      <name val="Arial Narrow"/>
      <family val="2"/>
    </font>
    <font>
      <vertAlign val="superscript"/>
      <sz val="10"/>
      <name val="Arial Narrow"/>
      <family val="2"/>
    </font>
    <font>
      <b/>
      <sz val="9"/>
      <name val="Arial Narrow"/>
      <family val="2"/>
    </font>
    <font>
      <b/>
      <sz val="9.5"/>
      <name val="Arial Narrow"/>
      <family val="2"/>
    </font>
    <font>
      <sz val="10"/>
      <color rgb="FFFF0000"/>
      <name val="Arial"/>
      <family val="2"/>
    </font>
    <font>
      <b/>
      <sz val="10.5"/>
      <color theme="0"/>
      <name val="Arial Narrow"/>
      <family val="2"/>
    </font>
    <font>
      <b/>
      <sz val="10"/>
      <color rgb="FF0000FF"/>
      <name val="Arial Narrow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4">
    <xf numFmtId="0" fontId="0" fillId="0" borderId="0"/>
    <xf numFmtId="0" fontId="3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0" fontId="21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0" fillId="0" borderId="0"/>
    <xf numFmtId="167" fontId="10" fillId="0" borderId="0"/>
    <xf numFmtId="0" fontId="3" fillId="0" borderId="0"/>
    <xf numFmtId="167" fontId="10" fillId="0" borderId="0"/>
    <xf numFmtId="0" fontId="3" fillId="0" borderId="0"/>
    <xf numFmtId="0" fontId="20" fillId="0" borderId="0"/>
    <xf numFmtId="0" fontId="20" fillId="0" borderId="0"/>
    <xf numFmtId="0" fontId="3" fillId="0" borderId="0" applyBorder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0" fillId="0" borderId="0"/>
    <xf numFmtId="9" fontId="3" fillId="0" borderId="0" applyFont="0" applyFill="0" applyBorder="0" applyAlignment="0" applyProtection="0"/>
    <xf numFmtId="0" fontId="10" fillId="0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3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31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1" fillId="33" borderId="152" applyNumberFormat="0" applyAlignment="0" applyProtection="0"/>
    <xf numFmtId="0" fontId="41" fillId="33" borderId="152" applyNumberFormat="0" applyAlignment="0" applyProtection="0"/>
    <xf numFmtId="0" fontId="41" fillId="33" borderId="152" applyNumberFormat="0" applyAlignment="0" applyProtection="0"/>
    <xf numFmtId="0" fontId="41" fillId="33" borderId="152" applyNumberFormat="0" applyAlignment="0" applyProtection="0"/>
    <xf numFmtId="0" fontId="42" fillId="34" borderId="153" applyNumberFormat="0" applyAlignment="0" applyProtection="0"/>
    <xf numFmtId="0" fontId="42" fillId="34" borderId="153" applyNumberFormat="0" applyAlignment="0" applyProtection="0"/>
    <xf numFmtId="0" fontId="42" fillId="34" borderId="153" applyNumberFormat="0" applyAlignment="0" applyProtection="0"/>
    <xf numFmtId="0" fontId="42" fillId="34" borderId="153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154" applyNumberFormat="0" applyFill="0" applyAlignment="0" applyProtection="0"/>
    <xf numFmtId="0" fontId="45" fillId="0" borderId="154" applyNumberFormat="0" applyFill="0" applyAlignment="0" applyProtection="0"/>
    <xf numFmtId="0" fontId="45" fillId="0" borderId="154" applyNumberFormat="0" applyFill="0" applyAlignment="0" applyProtection="0"/>
    <xf numFmtId="0" fontId="45" fillId="0" borderId="154" applyNumberFormat="0" applyFill="0" applyAlignment="0" applyProtection="0"/>
    <xf numFmtId="0" fontId="46" fillId="0" borderId="155" applyNumberFormat="0" applyFill="0" applyAlignment="0" applyProtection="0"/>
    <xf numFmtId="0" fontId="46" fillId="0" borderId="155" applyNumberFormat="0" applyFill="0" applyAlignment="0" applyProtection="0"/>
    <xf numFmtId="0" fontId="46" fillId="0" borderId="155" applyNumberFormat="0" applyFill="0" applyAlignment="0" applyProtection="0"/>
    <xf numFmtId="0" fontId="46" fillId="0" borderId="155" applyNumberFormat="0" applyFill="0" applyAlignment="0" applyProtection="0"/>
    <xf numFmtId="0" fontId="47" fillId="0" borderId="156" applyNumberFormat="0" applyFill="0" applyAlignment="0" applyProtection="0"/>
    <xf numFmtId="0" fontId="47" fillId="0" borderId="156" applyNumberFormat="0" applyFill="0" applyAlignment="0" applyProtection="0"/>
    <xf numFmtId="0" fontId="47" fillId="0" borderId="156" applyNumberFormat="0" applyFill="0" applyAlignment="0" applyProtection="0"/>
    <xf numFmtId="0" fontId="47" fillId="0" borderId="156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8" fillId="20" borderId="152" applyNumberFormat="0" applyAlignment="0" applyProtection="0"/>
    <xf numFmtId="0" fontId="48" fillId="20" borderId="152" applyNumberFormat="0" applyAlignment="0" applyProtection="0"/>
    <xf numFmtId="0" fontId="48" fillId="20" borderId="152" applyNumberFormat="0" applyAlignment="0" applyProtection="0"/>
    <xf numFmtId="0" fontId="48" fillId="20" borderId="152" applyNumberFormat="0" applyAlignment="0" applyProtection="0"/>
    <xf numFmtId="0" fontId="49" fillId="0" borderId="157" applyNumberFormat="0" applyFill="0" applyAlignment="0" applyProtection="0"/>
    <xf numFmtId="0" fontId="49" fillId="0" borderId="157" applyNumberFormat="0" applyFill="0" applyAlignment="0" applyProtection="0"/>
    <xf numFmtId="0" fontId="49" fillId="0" borderId="157" applyNumberFormat="0" applyFill="0" applyAlignment="0" applyProtection="0"/>
    <xf numFmtId="0" fontId="49" fillId="0" borderId="157" applyNumberFormat="0" applyFill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50" fillId="35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9" fillId="0" borderId="0"/>
    <xf numFmtId="0" fontId="9" fillId="36" borderId="158" applyNumberFormat="0" applyFont="0" applyAlignment="0" applyProtection="0"/>
    <xf numFmtId="0" fontId="9" fillId="36" borderId="158" applyNumberFormat="0" applyFont="0" applyAlignment="0" applyProtection="0"/>
    <xf numFmtId="0" fontId="9" fillId="36" borderId="158" applyNumberFormat="0" applyFont="0" applyAlignment="0" applyProtection="0"/>
    <xf numFmtId="0" fontId="9" fillId="36" borderId="158" applyNumberFormat="0" applyFont="0" applyAlignment="0" applyProtection="0"/>
    <xf numFmtId="0" fontId="51" fillId="33" borderId="159" applyNumberFormat="0" applyAlignment="0" applyProtection="0"/>
    <xf numFmtId="0" fontId="51" fillId="33" borderId="159" applyNumberFormat="0" applyAlignment="0" applyProtection="0"/>
    <xf numFmtId="0" fontId="51" fillId="33" borderId="159" applyNumberFormat="0" applyAlignment="0" applyProtection="0"/>
    <xf numFmtId="0" fontId="51" fillId="33" borderId="159" applyNumberFormat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60" applyNumberFormat="0" applyFill="0" applyAlignment="0" applyProtection="0"/>
    <xf numFmtId="0" fontId="53" fillId="0" borderId="160" applyNumberFormat="0" applyFill="0" applyAlignment="0" applyProtection="0"/>
    <xf numFmtId="0" fontId="53" fillId="0" borderId="160" applyNumberFormat="0" applyFill="0" applyAlignment="0" applyProtection="0"/>
    <xf numFmtId="0" fontId="53" fillId="0" borderId="160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1843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7" fillId="0" borderId="0" xfId="0" applyNumberFormat="1" applyFont="1"/>
    <xf numFmtId="166" fontId="6" fillId="0" borderId="0" xfId="0" applyNumberFormat="1" applyFont="1"/>
    <xf numFmtId="0" fontId="8" fillId="0" borderId="0" xfId="0" applyFont="1"/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167" fontId="6" fillId="0" borderId="4" xfId="0" applyNumberFormat="1" applyFont="1" applyBorder="1" applyAlignment="1">
      <alignment vertical="center"/>
    </xf>
    <xf numFmtId="166" fontId="6" fillId="0" borderId="0" xfId="0" applyNumberFormat="1" applyFont="1" applyAlignment="1">
      <alignment vertical="center"/>
    </xf>
    <xf numFmtId="166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166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6" fontId="8" fillId="0" borderId="6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166" fontId="6" fillId="0" borderId="7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5" xfId="0" applyNumberFormat="1" applyFont="1" applyBorder="1" applyAlignment="1">
      <alignment vertical="center"/>
    </xf>
    <xf numFmtId="166" fontId="6" fillId="0" borderId="8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166" fontId="7" fillId="0" borderId="10" xfId="0" applyNumberFormat="1" applyFont="1" applyBorder="1" applyAlignment="1">
      <alignment vertical="center"/>
    </xf>
    <xf numFmtId="166" fontId="12" fillId="0" borderId="0" xfId="0" applyNumberFormat="1" applyFont="1"/>
    <xf numFmtId="166" fontId="8" fillId="0" borderId="0" xfId="0" applyNumberFormat="1" applyFont="1"/>
    <xf numFmtId="0" fontId="12" fillId="0" borderId="11" xfId="0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textRotation="90" wrapText="1"/>
    </xf>
    <xf numFmtId="0" fontId="12" fillId="0" borderId="3" xfId="0" applyFont="1" applyBorder="1" applyAlignment="1">
      <alignment horizontal="center" textRotation="90" wrapText="1"/>
    </xf>
    <xf numFmtId="166" fontId="8" fillId="0" borderId="1" xfId="0" applyNumberFormat="1" applyFont="1" applyBorder="1" applyAlignment="1">
      <alignment horizont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center"/>
    </xf>
    <xf numFmtId="166" fontId="12" fillId="3" borderId="0" xfId="0" applyNumberFormat="1" applyFont="1" applyFill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66" fontId="8" fillId="3" borderId="1" xfId="0" applyNumberFormat="1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vertical="center"/>
    </xf>
    <xf numFmtId="166" fontId="8" fillId="3" borderId="11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66" fontId="8" fillId="3" borderId="13" xfId="0" applyNumberFormat="1" applyFont="1" applyFill="1" applyBorder="1" applyAlignment="1">
      <alignment vertical="center"/>
    </xf>
    <xf numFmtId="166" fontId="8" fillId="3" borderId="14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2" fillId="4" borderId="12" xfId="0" applyFont="1" applyFill="1" applyBorder="1" applyAlignment="1">
      <alignment horizontal="left" vertical="center"/>
    </xf>
    <xf numFmtId="166" fontId="12" fillId="4" borderId="13" xfId="0" applyNumberFormat="1" applyFont="1" applyFill="1" applyBorder="1" applyAlignment="1">
      <alignment vertical="center"/>
    </xf>
    <xf numFmtId="166" fontId="8" fillId="4" borderId="14" xfId="0" applyNumberFormat="1" applyFont="1" applyFill="1" applyBorder="1" applyAlignment="1">
      <alignment vertical="center"/>
    </xf>
    <xf numFmtId="0" fontId="12" fillId="4" borderId="7" xfId="0" applyFont="1" applyFill="1" applyBorder="1" applyAlignment="1">
      <alignment horizontal="left" vertical="center"/>
    </xf>
    <xf numFmtId="166" fontId="12" fillId="4" borderId="0" xfId="0" applyNumberFormat="1" applyFont="1" applyFill="1" applyAlignment="1">
      <alignment vertical="center"/>
    </xf>
    <xf numFmtId="166" fontId="8" fillId="4" borderId="4" xfId="0" applyNumberFormat="1" applyFont="1" applyFill="1" applyBorder="1" applyAlignment="1">
      <alignment vertical="center"/>
    </xf>
    <xf numFmtId="0" fontId="8" fillId="4" borderId="12" xfId="0" applyFont="1" applyFill="1" applyBorder="1" applyAlignment="1">
      <alignment horizontal="left" vertical="center"/>
    </xf>
    <xf numFmtId="166" fontId="8" fillId="4" borderId="13" xfId="0" applyNumberFormat="1" applyFont="1" applyFill="1" applyBorder="1" applyAlignment="1">
      <alignment vertical="center"/>
    </xf>
    <xf numFmtId="0" fontId="8" fillId="4" borderId="7" xfId="0" applyFont="1" applyFill="1" applyBorder="1" applyAlignment="1">
      <alignment horizontal="left" vertical="center"/>
    </xf>
    <xf numFmtId="166" fontId="8" fillId="4" borderId="0" xfId="0" applyNumberFormat="1" applyFont="1" applyFill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66" fontId="8" fillId="4" borderId="1" xfId="0" applyNumberFormat="1" applyFont="1" applyFill="1" applyBorder="1" applyAlignment="1">
      <alignment vertical="center"/>
    </xf>
    <xf numFmtId="166" fontId="8" fillId="4" borderId="2" xfId="0" applyNumberFormat="1" applyFont="1" applyFill="1" applyBorder="1" applyAlignment="1">
      <alignment vertical="center"/>
    </xf>
    <xf numFmtId="166" fontId="8" fillId="4" borderId="11" xfId="0" applyNumberFormat="1" applyFont="1" applyFill="1" applyBorder="1" applyAlignment="1">
      <alignment vertical="center"/>
    </xf>
    <xf numFmtId="0" fontId="12" fillId="4" borderId="0" xfId="0" applyFont="1" applyFill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166" fontId="8" fillId="4" borderId="15" xfId="0" applyNumberFormat="1" applyFont="1" applyFill="1" applyBorder="1" applyAlignment="1">
      <alignment vertical="center"/>
    </xf>
    <xf numFmtId="166" fontId="8" fillId="4" borderId="6" xfId="0" applyNumberFormat="1" applyFont="1" applyFill="1" applyBorder="1" applyAlignment="1">
      <alignment vertical="center"/>
    </xf>
    <xf numFmtId="166" fontId="8" fillId="4" borderId="16" xfId="0" applyNumberFormat="1" applyFont="1" applyFill="1" applyBorder="1" applyAlignment="1">
      <alignment vertical="center"/>
    </xf>
    <xf numFmtId="0" fontId="12" fillId="4" borderId="0" xfId="0" applyFont="1" applyFill="1" applyAlignment="1">
      <alignment horizontal="justify" wrapText="1"/>
    </xf>
    <xf numFmtId="0" fontId="8" fillId="4" borderId="0" xfId="0" applyFont="1" applyFill="1" applyAlignment="1">
      <alignment horizontal="justify" wrapText="1"/>
    </xf>
    <xf numFmtId="0" fontId="12" fillId="0" borderId="4" xfId="0" applyFont="1" applyBorder="1" applyAlignment="1">
      <alignment horizontal="left" vertical="center"/>
    </xf>
    <xf numFmtId="166" fontId="8" fillId="0" borderId="0" xfId="0" applyNumberFormat="1" applyFont="1" applyAlignment="1">
      <alignment vertical="center"/>
    </xf>
    <xf numFmtId="0" fontId="12" fillId="0" borderId="11" xfId="0" applyFont="1" applyBorder="1" applyAlignment="1">
      <alignment horizontal="left" vertical="center"/>
    </xf>
    <xf numFmtId="166" fontId="12" fillId="0" borderId="2" xfId="0" applyNumberFormat="1" applyFont="1" applyBorder="1" applyAlignment="1">
      <alignment vertical="center"/>
    </xf>
    <xf numFmtId="166" fontId="8" fillId="0" borderId="2" xfId="0" applyNumberFormat="1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166" fontId="8" fillId="0" borderId="13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justify" wrapText="1"/>
    </xf>
    <xf numFmtId="0" fontId="8" fillId="0" borderId="0" xfId="0" applyFont="1" applyAlignment="1">
      <alignment horizontal="justify" wrapText="1"/>
    </xf>
    <xf numFmtId="0" fontId="12" fillId="0" borderId="12" xfId="0" applyFont="1" applyBorder="1" applyAlignment="1">
      <alignment horizontal="left" vertical="center"/>
    </xf>
    <xf numFmtId="166" fontId="12" fillId="0" borderId="13" xfId="0" applyNumberFormat="1" applyFont="1" applyBorder="1" applyAlignment="1">
      <alignment horizontal="right" vertical="center"/>
    </xf>
    <xf numFmtId="166" fontId="8" fillId="0" borderId="14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166" fontId="12" fillId="0" borderId="0" xfId="0" applyNumberFormat="1" applyFont="1" applyAlignment="1">
      <alignment horizontal="right" vertical="center"/>
    </xf>
    <xf numFmtId="166" fontId="8" fillId="0" borderId="4" xfId="0" applyNumberFormat="1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166" fontId="8" fillId="0" borderId="11" xfId="0" applyNumberFormat="1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166" fontId="8" fillId="0" borderId="4" xfId="0" applyNumberFormat="1" applyFont="1" applyBorder="1" applyAlignment="1">
      <alignment horizontal="right" vertical="center"/>
    </xf>
    <xf numFmtId="166" fontId="8" fillId="0" borderId="11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horizontal="left" vertical="center"/>
    </xf>
    <xf numFmtId="166" fontId="12" fillId="0" borderId="5" xfId="0" applyNumberFormat="1" applyFont="1" applyBorder="1" applyAlignment="1">
      <alignment horizontal="right" vertical="center"/>
    </xf>
    <xf numFmtId="166" fontId="8" fillId="0" borderId="5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12" fillId="0" borderId="0" xfId="0" applyFont="1" applyAlignment="1">
      <alignment horizontal="left" vertical="top"/>
    </xf>
    <xf numFmtId="0" fontId="8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67" fontId="6" fillId="0" borderId="4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vertical="center"/>
    </xf>
    <xf numFmtId="167" fontId="6" fillId="0" borderId="9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167" fontId="6" fillId="0" borderId="9" xfId="0" applyNumberFormat="1" applyFont="1" applyBorder="1" applyAlignment="1">
      <alignment horizontal="right" vertical="center"/>
    </xf>
    <xf numFmtId="167" fontId="6" fillId="0" borderId="5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0" fontId="12" fillId="4" borderId="20" xfId="0" applyFont="1" applyFill="1" applyBorder="1" applyAlignment="1">
      <alignment wrapText="1"/>
    </xf>
    <xf numFmtId="0" fontId="12" fillId="4" borderId="21" xfId="0" applyFont="1" applyFill="1" applyBorder="1" applyAlignment="1">
      <alignment wrapText="1"/>
    </xf>
    <xf numFmtId="0" fontId="12" fillId="4" borderId="22" xfId="0" applyFont="1" applyFill="1" applyBorder="1" applyAlignment="1">
      <alignment wrapText="1"/>
    </xf>
    <xf numFmtId="0" fontId="0" fillId="0" borderId="0" xfId="0" quotePrefix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166" fontId="13" fillId="0" borderId="0" xfId="8" applyNumberFormat="1" applyFont="1" applyAlignment="1">
      <alignment vertical="center"/>
    </xf>
    <xf numFmtId="166" fontId="14" fillId="0" borderId="0" xfId="8" applyNumberFormat="1" applyFont="1" applyAlignment="1">
      <alignment vertical="center"/>
    </xf>
    <xf numFmtId="0" fontId="13" fillId="0" borderId="0" xfId="8" applyFont="1" applyAlignment="1">
      <alignment vertical="center"/>
    </xf>
    <xf numFmtId="0" fontId="14" fillId="0" borderId="0" xfId="8" applyFont="1" applyAlignment="1">
      <alignment vertical="center"/>
    </xf>
    <xf numFmtId="0" fontId="13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14" fillId="0" borderId="0" xfId="0" applyNumberFormat="1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23" fillId="0" borderId="0" xfId="0" applyFont="1"/>
    <xf numFmtId="0" fontId="13" fillId="0" borderId="0" xfId="8" applyFont="1" applyAlignment="1">
      <alignment horizontal="left"/>
    </xf>
    <xf numFmtId="0" fontId="13" fillId="0" borderId="0" xfId="8" applyFont="1"/>
    <xf numFmtId="166" fontId="13" fillId="0" borderId="0" xfId="8" applyNumberFormat="1" applyFont="1"/>
    <xf numFmtId="0" fontId="13" fillId="0" borderId="0" xfId="8" applyFont="1" applyAlignment="1">
      <alignment vertical="center" wrapText="1"/>
    </xf>
    <xf numFmtId="166" fontId="13" fillId="0" borderId="29" xfId="8" applyNumberFormat="1" applyFont="1" applyBorder="1" applyAlignment="1">
      <alignment horizontal="right" vertical="center"/>
    </xf>
    <xf numFmtId="166" fontId="13" fillId="0" borderId="30" xfId="8" applyNumberFormat="1" applyFont="1" applyBorder="1" applyAlignment="1">
      <alignment horizontal="right" vertical="center"/>
    </xf>
    <xf numFmtId="166" fontId="14" fillId="0" borderId="31" xfId="8" applyNumberFormat="1" applyFont="1" applyBorder="1" applyAlignment="1">
      <alignment horizontal="right" vertical="center"/>
    </xf>
    <xf numFmtId="166" fontId="13" fillId="0" borderId="35" xfId="8" applyNumberFormat="1" applyFont="1" applyBorder="1" applyAlignment="1">
      <alignment horizontal="right" vertical="center"/>
    </xf>
    <xf numFmtId="166" fontId="13" fillId="0" borderId="36" xfId="8" applyNumberFormat="1" applyFont="1" applyBorder="1" applyAlignment="1">
      <alignment horizontal="right" vertical="center"/>
    </xf>
    <xf numFmtId="166" fontId="14" fillId="0" borderId="37" xfId="8" applyNumberFormat="1" applyFont="1" applyBorder="1" applyAlignment="1">
      <alignment horizontal="right" vertical="center"/>
    </xf>
    <xf numFmtId="166" fontId="13" fillId="0" borderId="38" xfId="8" applyNumberFormat="1" applyFont="1" applyBorder="1" applyAlignment="1">
      <alignment horizontal="right" vertical="center"/>
    </xf>
    <xf numFmtId="49" fontId="13" fillId="0" borderId="34" xfId="8" applyNumberFormat="1" applyFont="1" applyBorder="1" applyAlignment="1">
      <alignment vertical="center"/>
    </xf>
    <xf numFmtId="166" fontId="14" fillId="0" borderId="42" xfId="8" applyNumberFormat="1" applyFont="1" applyBorder="1" applyAlignment="1">
      <alignment horizontal="right" vertical="center"/>
    </xf>
    <xf numFmtId="166" fontId="14" fillId="0" borderId="43" xfId="8" applyNumberFormat="1" applyFont="1" applyBorder="1" applyAlignment="1">
      <alignment horizontal="right" vertical="center"/>
    </xf>
    <xf numFmtId="166" fontId="14" fillId="0" borderId="35" xfId="8" applyNumberFormat="1" applyFont="1" applyBorder="1" applyAlignment="1">
      <alignment horizontal="right" vertical="center"/>
    </xf>
    <xf numFmtId="166" fontId="14" fillId="0" borderId="36" xfId="8" applyNumberFormat="1" applyFont="1" applyBorder="1" applyAlignment="1">
      <alignment horizontal="righ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165" fontId="13" fillId="0" borderId="0" xfId="22" applyFont="1" applyAlignment="1">
      <alignment vertical="center"/>
    </xf>
    <xf numFmtId="165" fontId="13" fillId="0" borderId="0" xfId="22" applyFont="1" applyAlignment="1">
      <alignment horizontal="center" vertical="center"/>
    </xf>
    <xf numFmtId="165" fontId="13" fillId="0" borderId="0" xfId="22" applyFont="1" applyAlignment="1">
      <alignment horizontal="right" vertical="center"/>
    </xf>
    <xf numFmtId="165" fontId="13" fillId="0" borderId="0" xfId="22" applyFont="1"/>
    <xf numFmtId="166" fontId="13" fillId="0" borderId="0" xfId="22" applyNumberFormat="1" applyFont="1"/>
    <xf numFmtId="167" fontId="13" fillId="0" borderId="0" xfId="22" applyNumberFormat="1" applyFont="1"/>
    <xf numFmtId="166" fontId="14" fillId="0" borderId="0" xfId="22" applyNumberFormat="1" applyFont="1"/>
    <xf numFmtId="167" fontId="14" fillId="0" borderId="0" xfId="22" applyNumberFormat="1" applyFont="1"/>
    <xf numFmtId="166" fontId="13" fillId="0" borderId="0" xfId="22" applyNumberFormat="1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66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17" xfId="0" applyFont="1" applyBorder="1" applyAlignment="1">
      <alignment vertical="center"/>
    </xf>
    <xf numFmtId="166" fontId="13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66" fontId="16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 wrapText="1"/>
    </xf>
    <xf numFmtId="166" fontId="14" fillId="0" borderId="2" xfId="0" applyNumberFormat="1" applyFont="1" applyBorder="1" applyAlignment="1">
      <alignment vertical="center"/>
    </xf>
    <xf numFmtId="166" fontId="14" fillId="0" borderId="11" xfId="0" applyNumberFormat="1" applyFont="1" applyBorder="1" applyAlignment="1">
      <alignment vertical="center"/>
    </xf>
    <xf numFmtId="166" fontId="14" fillId="0" borderId="3" xfId="0" applyNumberFormat="1" applyFont="1" applyBorder="1" applyAlignment="1">
      <alignment vertical="center"/>
    </xf>
    <xf numFmtId="166" fontId="14" fillId="0" borderId="2" xfId="0" applyNumberFormat="1" applyFont="1" applyBorder="1" applyAlignment="1">
      <alignment horizontal="right" vertical="center"/>
    </xf>
    <xf numFmtId="166" fontId="14" fillId="0" borderId="6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166" fontId="14" fillId="0" borderId="5" xfId="0" applyNumberFormat="1" applyFont="1" applyBorder="1" applyAlignment="1">
      <alignment vertical="center"/>
    </xf>
    <xf numFmtId="166" fontId="14" fillId="0" borderId="0" xfId="0" applyNumberFormat="1" applyFont="1"/>
    <xf numFmtId="166" fontId="13" fillId="0" borderId="0" xfId="0" applyNumberFormat="1" applyFont="1" applyAlignment="1">
      <alignment horizontal="right"/>
    </xf>
    <xf numFmtId="2" fontId="13" fillId="0" borderId="0" xfId="0" applyNumberFormat="1" applyFont="1"/>
    <xf numFmtId="166" fontId="23" fillId="0" borderId="0" xfId="0" applyNumberFormat="1" applyFont="1" applyAlignment="1">
      <alignment vertical="center"/>
    </xf>
    <xf numFmtId="0" fontId="14" fillId="2" borderId="3" xfId="0" applyFont="1" applyFill="1" applyBorder="1" applyAlignment="1">
      <alignment vertical="center"/>
    </xf>
    <xf numFmtId="0" fontId="13" fillId="0" borderId="53" xfId="0" applyFont="1" applyBorder="1"/>
    <xf numFmtId="166" fontId="13" fillId="0" borderId="53" xfId="0" applyNumberFormat="1" applyFont="1" applyBorder="1"/>
    <xf numFmtId="0" fontId="13" fillId="0" borderId="49" xfId="0" applyFont="1" applyBorder="1"/>
    <xf numFmtId="0" fontId="13" fillId="0" borderId="51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0" fontId="13" fillId="0" borderId="51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5" borderId="23" xfId="0" applyFont="1" applyFill="1" applyBorder="1" applyAlignment="1">
      <alignment vertical="center"/>
    </xf>
    <xf numFmtId="166" fontId="14" fillId="0" borderId="49" xfId="0" applyNumberFormat="1" applyFont="1" applyBorder="1" applyAlignment="1">
      <alignment vertical="center"/>
    </xf>
    <xf numFmtId="0" fontId="13" fillId="0" borderId="53" xfId="8" applyFont="1" applyBorder="1"/>
    <xf numFmtId="0" fontId="13" fillId="0" borderId="53" xfId="8" applyFont="1" applyBorder="1" applyAlignment="1">
      <alignment horizontal="left"/>
    </xf>
    <xf numFmtId="0" fontId="14" fillId="0" borderId="0" xfId="0" applyFont="1" applyAlignment="1">
      <alignment horizontal="right" vertical="center"/>
    </xf>
    <xf numFmtId="2" fontId="13" fillId="0" borderId="36" xfId="0" applyNumberFormat="1" applyFont="1" applyBorder="1" applyAlignment="1">
      <alignment vertical="center"/>
    </xf>
    <xf numFmtId="2" fontId="13" fillId="0" borderId="61" xfId="0" applyNumberFormat="1" applyFont="1" applyBorder="1" applyAlignment="1">
      <alignment vertical="center"/>
    </xf>
    <xf numFmtId="2" fontId="14" fillId="0" borderId="36" xfId="0" applyNumberFormat="1" applyFont="1" applyBorder="1" applyAlignment="1">
      <alignment vertical="center"/>
    </xf>
    <xf numFmtId="166" fontId="13" fillId="0" borderId="38" xfId="0" applyNumberFormat="1" applyFont="1" applyBorder="1" applyAlignment="1">
      <alignment vertical="center"/>
    </xf>
    <xf numFmtId="166" fontId="13" fillId="0" borderId="60" xfId="0" applyNumberFormat="1" applyFont="1" applyBorder="1" applyAlignment="1">
      <alignment vertical="center"/>
    </xf>
    <xf numFmtId="166" fontId="14" fillId="0" borderId="38" xfId="0" applyNumberFormat="1" applyFont="1" applyBorder="1" applyAlignment="1">
      <alignment vertical="center"/>
    </xf>
    <xf numFmtId="2" fontId="13" fillId="0" borderId="37" xfId="0" applyNumberFormat="1" applyFont="1" applyBorder="1" applyAlignment="1">
      <alignment vertical="center"/>
    </xf>
    <xf numFmtId="2" fontId="13" fillId="0" borderId="65" xfId="0" applyNumberFormat="1" applyFont="1" applyBorder="1" applyAlignment="1">
      <alignment vertical="center"/>
    </xf>
    <xf numFmtId="166" fontId="13" fillId="0" borderId="51" xfId="0" applyNumberFormat="1" applyFont="1" applyBorder="1" applyAlignment="1">
      <alignment horizontal="right"/>
    </xf>
    <xf numFmtId="2" fontId="14" fillId="0" borderId="74" xfId="0" applyNumberFormat="1" applyFont="1" applyBorder="1" applyAlignment="1">
      <alignment vertical="center"/>
    </xf>
    <xf numFmtId="2" fontId="14" fillId="0" borderId="75" xfId="0" applyNumberFormat="1" applyFont="1" applyBorder="1" applyAlignment="1">
      <alignment vertical="center"/>
    </xf>
    <xf numFmtId="2" fontId="13" fillId="0" borderId="36" xfId="0" applyNumberFormat="1" applyFont="1" applyBorder="1" applyAlignment="1">
      <alignment horizontal="right" vertical="center"/>
    </xf>
    <xf numFmtId="2" fontId="13" fillId="0" borderId="59" xfId="0" applyNumberFormat="1" applyFont="1" applyBorder="1" applyAlignment="1">
      <alignment vertical="center"/>
    </xf>
    <xf numFmtId="2" fontId="13" fillId="0" borderId="59" xfId="0" applyNumberFormat="1" applyFont="1" applyBorder="1" applyAlignment="1">
      <alignment horizontal="right" vertical="center"/>
    </xf>
    <xf numFmtId="0" fontId="13" fillId="0" borderId="51" xfId="0" applyFont="1" applyBorder="1" applyAlignment="1">
      <alignment horizontal="left" vertical="center"/>
    </xf>
    <xf numFmtId="2" fontId="13" fillId="0" borderId="61" xfId="0" applyNumberFormat="1" applyFont="1" applyBorder="1" applyAlignment="1">
      <alignment horizontal="right" vertical="center"/>
    </xf>
    <xf numFmtId="2" fontId="13" fillId="0" borderId="43" xfId="0" applyNumberFormat="1" applyFont="1" applyBorder="1" applyAlignment="1">
      <alignment vertical="center"/>
    </xf>
    <xf numFmtId="2" fontId="13" fillId="0" borderId="37" xfId="0" applyNumberFormat="1" applyFont="1" applyBorder="1" applyAlignment="1">
      <alignment horizontal="right" vertical="center"/>
    </xf>
    <xf numFmtId="166" fontId="13" fillId="0" borderId="35" xfId="0" applyNumberFormat="1" applyFont="1" applyBorder="1" applyAlignment="1">
      <alignment vertical="center"/>
    </xf>
    <xf numFmtId="166" fontId="13" fillId="0" borderId="41" xfId="0" applyNumberFormat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166" fontId="13" fillId="0" borderId="36" xfId="0" applyNumberFormat="1" applyFont="1" applyBorder="1" applyAlignment="1">
      <alignment vertical="center"/>
    </xf>
    <xf numFmtId="0" fontId="13" fillId="0" borderId="40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166" fontId="13" fillId="0" borderId="30" xfId="0" applyNumberFormat="1" applyFont="1" applyBorder="1" applyAlignment="1">
      <alignment vertical="center"/>
    </xf>
    <xf numFmtId="49" fontId="13" fillId="0" borderId="87" xfId="8" applyNumberFormat="1" applyFont="1" applyBorder="1" applyAlignment="1">
      <alignment vertical="center"/>
    </xf>
    <xf numFmtId="166" fontId="13" fillId="0" borderId="49" xfId="0" applyNumberFormat="1" applyFont="1" applyBorder="1" applyAlignment="1">
      <alignment horizontal="right"/>
    </xf>
    <xf numFmtId="0" fontId="13" fillId="0" borderId="51" xfId="0" applyFont="1" applyBorder="1" applyAlignment="1">
      <alignment horizontal="left"/>
    </xf>
    <xf numFmtId="166" fontId="13" fillId="0" borderId="44" xfId="0" applyNumberFormat="1" applyFont="1" applyBorder="1" applyAlignment="1">
      <alignment horizontal="right" vertical="center"/>
    </xf>
    <xf numFmtId="166" fontId="13" fillId="0" borderId="38" xfId="0" applyNumberFormat="1" applyFont="1" applyBorder="1" applyAlignment="1">
      <alignment horizontal="right" vertical="center"/>
    </xf>
    <xf numFmtId="166" fontId="13" fillId="0" borderId="77" xfId="0" applyNumberFormat="1" applyFont="1" applyBorder="1" applyAlignment="1">
      <alignment horizontal="right" vertical="center"/>
    </xf>
    <xf numFmtId="2" fontId="14" fillId="0" borderId="84" xfId="0" applyNumberFormat="1" applyFont="1" applyBorder="1" applyAlignment="1">
      <alignment horizontal="left" vertical="center"/>
    </xf>
    <xf numFmtId="166" fontId="14" fillId="0" borderId="80" xfId="0" applyNumberFormat="1" applyFont="1" applyBorder="1" applyAlignment="1">
      <alignment horizontal="left" vertical="center"/>
    </xf>
    <xf numFmtId="166" fontId="13" fillId="0" borderId="41" xfId="0" applyNumberFormat="1" applyFont="1" applyBorder="1" applyAlignment="1">
      <alignment horizontal="right" vertical="center"/>
    </xf>
    <xf numFmtId="166" fontId="13" fillId="0" borderId="35" xfId="0" applyNumberFormat="1" applyFont="1" applyBorder="1" applyAlignment="1">
      <alignment horizontal="right" vertical="center"/>
    </xf>
    <xf numFmtId="166" fontId="14" fillId="0" borderId="95" xfId="0" applyNumberFormat="1" applyFont="1" applyBorder="1" applyAlignment="1">
      <alignment horizontal="left" vertical="center"/>
    </xf>
    <xf numFmtId="166" fontId="13" fillId="0" borderId="95" xfId="0" applyNumberFormat="1" applyFont="1" applyBorder="1" applyAlignment="1">
      <alignment horizontal="left" vertical="center"/>
    </xf>
    <xf numFmtId="166" fontId="14" fillId="0" borderId="74" xfId="0" applyNumberFormat="1" applyFont="1" applyBorder="1" applyAlignment="1">
      <alignment vertical="center"/>
    </xf>
    <xf numFmtId="166" fontId="14" fillId="0" borderId="80" xfId="0" applyNumberFormat="1" applyFont="1" applyBorder="1" applyAlignment="1">
      <alignment vertical="center"/>
    </xf>
    <xf numFmtId="2" fontId="14" fillId="0" borderId="84" xfId="0" applyNumberFormat="1" applyFont="1" applyBorder="1" applyAlignment="1">
      <alignment vertical="center"/>
    </xf>
    <xf numFmtId="0" fontId="13" fillId="0" borderId="95" xfId="0" applyFont="1" applyBorder="1" applyAlignment="1">
      <alignment vertical="center"/>
    </xf>
    <xf numFmtId="0" fontId="13" fillId="0" borderId="96" xfId="0" applyFont="1" applyBorder="1" applyAlignment="1">
      <alignment vertical="center"/>
    </xf>
    <xf numFmtId="0" fontId="14" fillId="0" borderId="67" xfId="0" applyFont="1" applyBorder="1" applyAlignment="1">
      <alignment vertical="center"/>
    </xf>
    <xf numFmtId="0" fontId="14" fillId="0" borderId="64" xfId="0" applyFont="1" applyBorder="1" applyAlignment="1">
      <alignment vertical="center"/>
    </xf>
    <xf numFmtId="0" fontId="14" fillId="0" borderId="64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5" borderId="104" xfId="0" applyFont="1" applyFill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/>
    </xf>
    <xf numFmtId="0" fontId="14" fillId="0" borderId="100" xfId="8" applyFont="1" applyBorder="1" applyAlignment="1">
      <alignment vertical="center"/>
    </xf>
    <xf numFmtId="0" fontId="13" fillId="0" borderId="62" xfId="8" applyFont="1" applyBorder="1" applyAlignment="1">
      <alignment vertical="center"/>
    </xf>
    <xf numFmtId="166" fontId="13" fillId="0" borderId="62" xfId="8" applyNumberFormat="1" applyFont="1" applyBorder="1" applyAlignment="1">
      <alignment horizontal="left" vertical="center"/>
    </xf>
    <xf numFmtId="0" fontId="13" fillId="0" borderId="51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left" vertical="center"/>
    </xf>
    <xf numFmtId="0" fontId="13" fillId="0" borderId="109" xfId="8" applyFont="1" applyBorder="1" applyAlignment="1">
      <alignment vertical="center" wrapText="1"/>
    </xf>
    <xf numFmtId="0" fontId="13" fillId="0" borderId="96" xfId="8" applyFont="1" applyBorder="1" applyAlignment="1">
      <alignment vertical="center" wrapText="1"/>
    </xf>
    <xf numFmtId="49" fontId="13" fillId="0" borderId="96" xfId="8" applyNumberFormat="1" applyFont="1" applyBorder="1" applyAlignment="1">
      <alignment vertical="center" wrapText="1"/>
    </xf>
    <xf numFmtId="49" fontId="13" fillId="0" borderId="116" xfId="8" applyNumberFormat="1" applyFont="1" applyBorder="1" applyAlignment="1">
      <alignment vertical="center" wrapText="1"/>
    </xf>
    <xf numFmtId="166" fontId="13" fillId="0" borderId="49" xfId="0" applyNumberFormat="1" applyFont="1" applyBorder="1" applyAlignment="1">
      <alignment vertical="center"/>
    </xf>
    <xf numFmtId="0" fontId="14" fillId="0" borderId="0" xfId="19" applyFont="1"/>
    <xf numFmtId="0" fontId="13" fillId="0" borderId="0" xfId="19" applyFont="1"/>
    <xf numFmtId="0" fontId="14" fillId="3" borderId="11" xfId="19" applyFont="1" applyFill="1" applyBorder="1" applyAlignment="1">
      <alignment horizontal="center" vertical="center"/>
    </xf>
    <xf numFmtId="0" fontId="14" fillId="3" borderId="3" xfId="19" applyFont="1" applyFill="1" applyBorder="1" applyAlignment="1">
      <alignment horizontal="center" vertical="center"/>
    </xf>
    <xf numFmtId="0" fontId="14" fillId="3" borderId="27" xfId="19" applyFont="1" applyFill="1" applyBorder="1" applyAlignment="1">
      <alignment horizontal="center" vertical="center"/>
    </xf>
    <xf numFmtId="0" fontId="14" fillId="3" borderId="27" xfId="8" applyFont="1" applyFill="1" applyBorder="1" applyAlignment="1">
      <alignment horizontal="center" vertical="center"/>
    </xf>
    <xf numFmtId="2" fontId="14" fillId="3" borderId="27" xfId="19" applyNumberFormat="1" applyFont="1" applyFill="1" applyBorder="1" applyAlignment="1">
      <alignment horizontal="center" vertical="center"/>
    </xf>
    <xf numFmtId="0" fontId="14" fillId="3" borderId="12" xfId="19" applyFont="1" applyFill="1" applyBorder="1" applyAlignment="1">
      <alignment horizontal="center" vertical="center"/>
    </xf>
    <xf numFmtId="0" fontId="14" fillId="3" borderId="2" xfId="19" applyFont="1" applyFill="1" applyBorder="1" applyAlignment="1">
      <alignment horizontal="center" vertical="center"/>
    </xf>
    <xf numFmtId="0" fontId="14" fillId="3" borderId="1" xfId="19" applyFont="1" applyFill="1" applyBorder="1" applyAlignment="1">
      <alignment horizontal="center" vertical="center"/>
    </xf>
    <xf numFmtId="0" fontId="13" fillId="0" borderId="0" xfId="19" applyFont="1" applyAlignment="1">
      <alignment vertical="center"/>
    </xf>
    <xf numFmtId="166" fontId="14" fillId="3" borderId="11" xfId="19" applyNumberFormat="1" applyFont="1" applyFill="1" applyBorder="1" applyAlignment="1">
      <alignment horizontal="center" vertical="center"/>
    </xf>
    <xf numFmtId="167" fontId="14" fillId="3" borderId="3" xfId="19" applyNumberFormat="1" applyFont="1" applyFill="1" applyBorder="1" applyAlignment="1">
      <alignment horizontal="center" vertical="center"/>
    </xf>
    <xf numFmtId="166" fontId="14" fillId="3" borderId="3" xfId="19" applyNumberFormat="1" applyFont="1" applyFill="1" applyBorder="1" applyAlignment="1">
      <alignment horizontal="center" vertical="center"/>
    </xf>
    <xf numFmtId="167" fontId="14" fillId="3" borderId="1" xfId="19" applyNumberFormat="1" applyFont="1" applyFill="1" applyBorder="1" applyAlignment="1">
      <alignment horizontal="center" vertical="center"/>
    </xf>
    <xf numFmtId="167" fontId="14" fillId="3" borderId="12" xfId="19" applyNumberFormat="1" applyFont="1" applyFill="1" applyBorder="1" applyAlignment="1">
      <alignment horizontal="center" vertical="center"/>
    </xf>
    <xf numFmtId="167" fontId="14" fillId="3" borderId="8" xfId="19" applyNumberFormat="1" applyFont="1" applyFill="1" applyBorder="1" applyAlignment="1">
      <alignment horizontal="center" vertical="center"/>
    </xf>
    <xf numFmtId="167" fontId="14" fillId="3" borderId="5" xfId="19" applyNumberFormat="1" applyFont="1" applyFill="1" applyBorder="1" applyAlignment="1">
      <alignment horizontal="center" vertical="center"/>
    </xf>
    <xf numFmtId="167" fontId="14" fillId="3" borderId="9" xfId="19" applyNumberFormat="1" applyFont="1" applyFill="1" applyBorder="1" applyAlignment="1">
      <alignment horizontal="center" vertical="center"/>
    </xf>
    <xf numFmtId="166" fontId="14" fillId="3" borderId="5" xfId="19" applyNumberFormat="1" applyFont="1" applyFill="1" applyBorder="1" applyAlignment="1">
      <alignment horizontal="center" vertical="center"/>
    </xf>
    <xf numFmtId="166" fontId="14" fillId="3" borderId="12" xfId="19" applyNumberFormat="1" applyFont="1" applyFill="1" applyBorder="1" applyAlignment="1">
      <alignment horizontal="center" vertical="center"/>
    </xf>
    <xf numFmtId="166" fontId="14" fillId="3" borderId="8" xfId="19" applyNumberFormat="1" applyFont="1" applyFill="1" applyBorder="1" applyAlignment="1">
      <alignment horizontal="center" vertical="center"/>
    </xf>
    <xf numFmtId="166" fontId="14" fillId="3" borderId="9" xfId="19" applyNumberFormat="1" applyFont="1" applyFill="1" applyBorder="1" applyAlignment="1">
      <alignment horizontal="center" vertical="center"/>
    </xf>
    <xf numFmtId="166" fontId="14" fillId="3" borderId="110" xfId="19" applyNumberFormat="1" applyFont="1" applyFill="1" applyBorder="1" applyAlignment="1">
      <alignment horizontal="center" vertical="center"/>
    </xf>
    <xf numFmtId="0" fontId="14" fillId="7" borderId="56" xfId="19" applyFont="1" applyFill="1" applyBorder="1" applyAlignment="1">
      <alignment horizontal="center" vertical="center"/>
    </xf>
    <xf numFmtId="0" fontId="14" fillId="7" borderId="3" xfId="19" applyFont="1" applyFill="1" applyBorder="1" applyAlignment="1">
      <alignment horizontal="center" vertical="center"/>
    </xf>
    <xf numFmtId="0" fontId="14" fillId="7" borderId="3" xfId="19" applyFont="1" applyFill="1" applyBorder="1" applyAlignment="1">
      <alignment vertical="center"/>
    </xf>
    <xf numFmtId="0" fontId="14" fillId="7" borderId="3" xfId="19" quotePrefix="1" applyFont="1" applyFill="1" applyBorder="1" applyAlignment="1">
      <alignment horizontal="center" vertical="center"/>
    </xf>
    <xf numFmtId="0" fontId="14" fillId="7" borderId="3" xfId="8" applyFont="1" applyFill="1" applyBorder="1" applyAlignment="1">
      <alignment horizontal="right" vertical="center"/>
    </xf>
    <xf numFmtId="166" fontId="14" fillId="7" borderId="3" xfId="8" applyNumberFormat="1" applyFont="1" applyFill="1" applyBorder="1" applyAlignment="1">
      <alignment horizontal="right" vertical="center"/>
    </xf>
    <xf numFmtId="166" fontId="17" fillId="7" borderId="3" xfId="8" applyNumberFormat="1" applyFont="1" applyFill="1" applyBorder="1" applyAlignment="1">
      <alignment horizontal="right" vertical="center"/>
    </xf>
    <xf numFmtId="166" fontId="17" fillId="7" borderId="57" xfId="8" applyNumberFormat="1" applyFont="1" applyFill="1" applyBorder="1" applyAlignment="1">
      <alignment horizontal="right" vertical="center"/>
    </xf>
    <xf numFmtId="0" fontId="14" fillId="0" borderId="0" xfId="19" applyFont="1" applyAlignment="1">
      <alignment vertical="center"/>
    </xf>
    <xf numFmtId="0" fontId="13" fillId="0" borderId="95" xfId="19" applyFont="1" applyBorder="1" applyAlignment="1">
      <alignment vertical="center"/>
    </xf>
    <xf numFmtId="166" fontId="13" fillId="0" borderId="0" xfId="19" applyNumberFormat="1" applyFont="1" applyBorder="1" applyAlignment="1">
      <alignment vertical="center"/>
    </xf>
    <xf numFmtId="167" fontId="13" fillId="0" borderId="0" xfId="8" applyNumberFormat="1" applyFont="1" applyAlignment="1">
      <alignment horizontal="right" vertical="center"/>
    </xf>
    <xf numFmtId="166" fontId="13" fillId="0" borderId="0" xfId="8" applyNumberFormat="1" applyFont="1" applyAlignment="1">
      <alignment horizontal="right" vertical="center"/>
    </xf>
    <xf numFmtId="166" fontId="13" fillId="0" borderId="4" xfId="8" applyNumberFormat="1" applyFont="1" applyBorder="1" applyAlignment="1">
      <alignment horizontal="right" vertical="center"/>
    </xf>
    <xf numFmtId="166" fontId="13" fillId="0" borderId="0" xfId="19" applyNumberFormat="1" applyFont="1" applyBorder="1"/>
    <xf numFmtId="166" fontId="13" fillId="0" borderId="7" xfId="19" applyNumberFormat="1" applyFont="1" applyBorder="1"/>
    <xf numFmtId="166" fontId="13" fillId="0" borderId="7" xfId="8" applyNumberFormat="1" applyFont="1" applyBorder="1" applyAlignment="1">
      <alignment horizontal="right" vertical="center"/>
    </xf>
    <xf numFmtId="166" fontId="14" fillId="0" borderId="4" xfId="8" applyNumberFormat="1" applyFont="1" applyBorder="1" applyAlignment="1">
      <alignment horizontal="right" vertical="center"/>
    </xf>
    <xf numFmtId="166" fontId="13" fillId="0" borderId="41" xfId="19" applyNumberFormat="1" applyFont="1" applyBorder="1"/>
    <xf numFmtId="166" fontId="13" fillId="0" borderId="42" xfId="19" applyNumberFormat="1" applyFont="1" applyBorder="1"/>
    <xf numFmtId="166" fontId="13" fillId="0" borderId="41" xfId="8" applyNumberFormat="1" applyFont="1" applyBorder="1" applyAlignment="1">
      <alignment horizontal="right" vertical="center"/>
    </xf>
    <xf numFmtId="166" fontId="13" fillId="0" borderId="44" xfId="19" applyNumberFormat="1" applyFont="1" applyBorder="1"/>
    <xf numFmtId="166" fontId="14" fillId="0" borderId="65" xfId="8" applyNumberFormat="1" applyFont="1" applyBorder="1" applyAlignment="1">
      <alignment horizontal="right" vertical="center"/>
    </xf>
    <xf numFmtId="0" fontId="13" fillId="0" borderId="96" xfId="19" applyFont="1" applyBorder="1" applyAlignment="1">
      <alignment vertical="center"/>
    </xf>
    <xf numFmtId="166" fontId="13" fillId="0" borderId="35" xfId="19" applyNumberFormat="1" applyFont="1" applyBorder="1"/>
    <xf numFmtId="166" fontId="13" fillId="0" borderId="36" xfId="19" applyNumberFormat="1" applyFont="1" applyBorder="1"/>
    <xf numFmtId="166" fontId="13" fillId="0" borderId="38" xfId="19" applyNumberFormat="1" applyFont="1" applyBorder="1"/>
    <xf numFmtId="166" fontId="14" fillId="0" borderId="61" xfId="8" applyNumberFormat="1" applyFont="1" applyBorder="1" applyAlignment="1">
      <alignment horizontal="right" vertical="center"/>
    </xf>
    <xf numFmtId="1" fontId="13" fillId="0" borderId="0" xfId="8" applyNumberFormat="1" applyFont="1" applyAlignment="1">
      <alignment horizontal="right" vertical="center"/>
    </xf>
    <xf numFmtId="1" fontId="13" fillId="0" borderId="0" xfId="19" applyNumberFormat="1" applyFont="1" applyBorder="1"/>
    <xf numFmtId="1" fontId="13" fillId="0" borderId="7" xfId="19" applyNumberFormat="1" applyFont="1" applyBorder="1"/>
    <xf numFmtId="49" fontId="13" fillId="0" borderId="96" xfId="8" applyNumberFormat="1" applyFont="1" applyBorder="1" applyAlignment="1">
      <alignment vertical="center"/>
    </xf>
    <xf numFmtId="0" fontId="13" fillId="0" borderId="96" xfId="8" applyFont="1" applyBorder="1" applyAlignment="1">
      <alignment vertical="center"/>
    </xf>
    <xf numFmtId="0" fontId="13" fillId="0" borderId="116" xfId="19" applyFont="1" applyBorder="1" applyAlignment="1">
      <alignment vertical="center"/>
    </xf>
    <xf numFmtId="166" fontId="13" fillId="0" borderId="85" xfId="19" applyNumberFormat="1" applyFont="1" applyBorder="1"/>
    <xf numFmtId="166" fontId="13" fillId="0" borderId="59" xfId="19" applyNumberFormat="1" applyFont="1" applyBorder="1"/>
    <xf numFmtId="166" fontId="14" fillId="0" borderId="86" xfId="8" applyNumberFormat="1" applyFont="1" applyBorder="1" applyAlignment="1">
      <alignment horizontal="right" vertical="center"/>
    </xf>
    <xf numFmtId="166" fontId="14" fillId="0" borderId="85" xfId="8" applyNumberFormat="1" applyFont="1" applyBorder="1" applyAlignment="1">
      <alignment horizontal="right" vertical="center"/>
    </xf>
    <xf numFmtId="166" fontId="14" fillId="0" borderId="59" xfId="8" applyNumberFormat="1" applyFont="1" applyBorder="1" applyAlignment="1">
      <alignment horizontal="right" vertical="center"/>
    </xf>
    <xf numFmtId="166" fontId="13" fillId="0" borderId="121" xfId="19" applyNumberFormat="1" applyFont="1" applyBorder="1"/>
    <xf numFmtId="166" fontId="14" fillId="0" borderId="71" xfId="8" applyNumberFormat="1" applyFont="1" applyBorder="1" applyAlignment="1">
      <alignment horizontal="right" vertical="center"/>
    </xf>
    <xf numFmtId="0" fontId="14" fillId="7" borderId="56" xfId="19" applyFont="1" applyFill="1" applyBorder="1" applyAlignment="1">
      <alignment vertical="center"/>
    </xf>
    <xf numFmtId="166" fontId="14" fillId="7" borderId="3" xfId="19" applyNumberFormat="1" applyFont="1" applyFill="1" applyBorder="1" applyAlignment="1">
      <alignment vertical="center"/>
    </xf>
    <xf numFmtId="167" fontId="14" fillId="7" borderId="3" xfId="19" applyNumberFormat="1" applyFont="1" applyFill="1" applyBorder="1" applyAlignment="1">
      <alignment vertical="center"/>
    </xf>
    <xf numFmtId="166" fontId="14" fillId="7" borderId="57" xfId="19" applyNumberFormat="1" applyFont="1" applyFill="1" applyBorder="1" applyAlignment="1">
      <alignment vertical="center"/>
    </xf>
    <xf numFmtId="0" fontId="13" fillId="0" borderId="109" xfId="19" applyFont="1" applyBorder="1" applyAlignment="1">
      <alignment vertical="center"/>
    </xf>
    <xf numFmtId="166" fontId="13" fillId="0" borderId="29" xfId="19" applyNumberFormat="1" applyFont="1" applyBorder="1"/>
    <xf numFmtId="166" fontId="13" fillId="0" borderId="30" xfId="19" applyNumberFormat="1" applyFont="1" applyBorder="1"/>
    <xf numFmtId="166" fontId="14" fillId="0" borderId="29" xfId="8" applyNumberFormat="1" applyFont="1" applyBorder="1" applyAlignment="1">
      <alignment horizontal="right" vertical="center"/>
    </xf>
    <xf numFmtId="166" fontId="14" fillId="0" borderId="30" xfId="8" applyNumberFormat="1" applyFont="1" applyBorder="1" applyAlignment="1">
      <alignment horizontal="right" vertical="center"/>
    </xf>
    <xf numFmtId="166" fontId="13" fillId="0" borderId="32" xfId="19" applyNumberFormat="1" applyFont="1" applyBorder="1"/>
    <xf numFmtId="166" fontId="14" fillId="0" borderId="112" xfId="8" applyNumberFormat="1" applyFont="1" applyBorder="1" applyAlignment="1">
      <alignment horizontal="right" vertical="center"/>
    </xf>
    <xf numFmtId="1" fontId="13" fillId="0" borderId="4" xfId="8" applyNumberFormat="1" applyFont="1" applyBorder="1" applyAlignment="1">
      <alignment horizontal="right" vertical="center"/>
    </xf>
    <xf numFmtId="1" fontId="13" fillId="0" borderId="96" xfId="8" applyNumberFormat="1" applyFont="1" applyBorder="1" applyAlignment="1">
      <alignment horizontal="left" vertical="center"/>
    </xf>
    <xf numFmtId="167" fontId="13" fillId="0" borderId="0" xfId="19" applyNumberFormat="1" applyFont="1" applyBorder="1"/>
    <xf numFmtId="0" fontId="13" fillId="0" borderId="0" xfId="19" applyFont="1" applyBorder="1"/>
    <xf numFmtId="0" fontId="13" fillId="0" borderId="4" xfId="19" applyFont="1" applyBorder="1"/>
    <xf numFmtId="0" fontId="13" fillId="0" borderId="7" xfId="19" applyFont="1" applyBorder="1"/>
    <xf numFmtId="166" fontId="13" fillId="0" borderId="0" xfId="19" applyNumberFormat="1" applyFont="1"/>
    <xf numFmtId="167" fontId="13" fillId="0" borderId="0" xfId="19" applyNumberFormat="1" applyFont="1" applyBorder="1" applyAlignment="1">
      <alignment vertical="center"/>
    </xf>
    <xf numFmtId="0" fontId="13" fillId="0" borderId="96" xfId="8" applyFont="1" applyBorder="1" applyAlignment="1">
      <alignment horizontal="left" vertical="center"/>
    </xf>
    <xf numFmtId="49" fontId="13" fillId="0" borderId="116" xfId="8" applyNumberFormat="1" applyFont="1" applyBorder="1" applyAlignment="1">
      <alignment vertical="center"/>
    </xf>
    <xf numFmtId="0" fontId="14" fillId="7" borderId="103" xfId="19" applyFont="1" applyFill="1" applyBorder="1" applyAlignment="1">
      <alignment vertical="center"/>
    </xf>
    <xf numFmtId="166" fontId="14" fillId="7" borderId="23" xfId="19" applyNumberFormat="1" applyFont="1" applyFill="1" applyBorder="1" applyAlignment="1">
      <alignment vertical="center"/>
    </xf>
    <xf numFmtId="167" fontId="14" fillId="7" borderId="23" xfId="19" applyNumberFormat="1" applyFont="1" applyFill="1" applyBorder="1" applyAlignment="1">
      <alignment vertical="center"/>
    </xf>
    <xf numFmtId="166" fontId="14" fillId="7" borderId="102" xfId="19" applyNumberFormat="1" applyFont="1" applyFill="1" applyBorder="1" applyAlignment="1">
      <alignment vertical="center"/>
    </xf>
    <xf numFmtId="167" fontId="13" fillId="0" borderId="4" xfId="19" applyNumberFormat="1" applyFont="1" applyBorder="1"/>
    <xf numFmtId="0" fontId="14" fillId="0" borderId="4" xfId="19" applyFont="1" applyBorder="1"/>
    <xf numFmtId="0" fontId="14" fillId="0" borderId="7" xfId="19" applyFont="1" applyBorder="1"/>
    <xf numFmtId="0" fontId="14" fillId="0" borderId="0" xfId="19" applyFont="1" applyBorder="1"/>
    <xf numFmtId="166" fontId="14" fillId="0" borderId="4" xfId="19" applyNumberFormat="1" applyFont="1" applyBorder="1"/>
    <xf numFmtId="166" fontId="14" fillId="0" borderId="0" xfId="19" applyNumberFormat="1" applyFont="1" applyBorder="1"/>
    <xf numFmtId="166" fontId="14" fillId="0" borderId="49" xfId="19" applyNumberFormat="1" applyFont="1" applyBorder="1"/>
    <xf numFmtId="0" fontId="13" fillId="0" borderId="95" xfId="8" applyFont="1" applyBorder="1" applyAlignment="1">
      <alignment vertical="center"/>
    </xf>
    <xf numFmtId="166" fontId="13" fillId="0" borderId="74" xfId="19" applyNumberFormat="1" applyFont="1" applyBorder="1"/>
    <xf numFmtId="167" fontId="13" fillId="0" borderId="74" xfId="19" applyNumberFormat="1" applyFont="1" applyBorder="1"/>
    <xf numFmtId="0" fontId="13" fillId="0" borderId="74" xfId="19" applyFont="1" applyBorder="1"/>
    <xf numFmtId="166" fontId="14" fillId="0" borderId="74" xfId="19" applyNumberFormat="1" applyFont="1" applyBorder="1"/>
    <xf numFmtId="0" fontId="14" fillId="0" borderId="74" xfId="19" applyFont="1" applyBorder="1"/>
    <xf numFmtId="166" fontId="14" fillId="0" borderId="84" xfId="19" applyNumberFormat="1" applyFont="1" applyBorder="1"/>
    <xf numFmtId="166" fontId="14" fillId="0" borderId="75" xfId="19" applyNumberFormat="1" applyFont="1" applyBorder="1"/>
    <xf numFmtId="0" fontId="13" fillId="0" borderId="116" xfId="8" applyFont="1" applyBorder="1" applyAlignment="1">
      <alignment vertical="center"/>
    </xf>
    <xf numFmtId="167" fontId="13" fillId="0" borderId="59" xfId="19" applyNumberFormat="1" applyFont="1" applyBorder="1"/>
    <xf numFmtId="0" fontId="13" fillId="0" borderId="59" xfId="19" applyFont="1" applyBorder="1"/>
    <xf numFmtId="166" fontId="14" fillId="0" borderId="59" xfId="19" applyNumberFormat="1" applyFont="1" applyBorder="1"/>
    <xf numFmtId="0" fontId="14" fillId="0" borderId="59" xfId="19" applyFont="1" applyBorder="1"/>
    <xf numFmtId="166" fontId="14" fillId="0" borderId="86" xfId="19" applyNumberFormat="1" applyFont="1" applyBorder="1"/>
    <xf numFmtId="166" fontId="14" fillId="0" borderId="121" xfId="19" applyNumberFormat="1" applyFont="1" applyBorder="1"/>
    <xf numFmtId="166" fontId="14" fillId="0" borderId="71" xfId="19" applyNumberFormat="1" applyFont="1" applyBorder="1"/>
    <xf numFmtId="0" fontId="14" fillId="7" borderId="56" xfId="8" applyFont="1" applyFill="1" applyBorder="1" applyAlignment="1">
      <alignment vertical="center"/>
    </xf>
    <xf numFmtId="166" fontId="14" fillId="7" borderId="11" xfId="19" applyNumberFormat="1" applyFont="1" applyFill="1" applyBorder="1"/>
    <xf numFmtId="167" fontId="14" fillId="7" borderId="3" xfId="19" applyNumberFormat="1" applyFont="1" applyFill="1" applyBorder="1"/>
    <xf numFmtId="166" fontId="14" fillId="7" borderId="3" xfId="19" applyNumberFormat="1" applyFont="1" applyFill="1" applyBorder="1"/>
    <xf numFmtId="0" fontId="14" fillId="7" borderId="3" xfId="19" applyFont="1" applyFill="1" applyBorder="1"/>
    <xf numFmtId="166" fontId="14" fillId="7" borderId="1" xfId="19" applyNumberFormat="1" applyFont="1" applyFill="1" applyBorder="1"/>
    <xf numFmtId="166" fontId="14" fillId="7" borderId="2" xfId="19" applyNumberFormat="1" applyFont="1" applyFill="1" applyBorder="1"/>
    <xf numFmtId="166" fontId="14" fillId="7" borderId="93" xfId="19" applyNumberFormat="1" applyFont="1" applyFill="1" applyBorder="1"/>
    <xf numFmtId="0" fontId="14" fillId="7" borderId="103" xfId="8" applyFont="1" applyFill="1" applyBorder="1" applyAlignment="1">
      <alignment vertical="center" wrapText="1"/>
    </xf>
    <xf numFmtId="166" fontId="14" fillId="7" borderId="16" xfId="19" applyNumberFormat="1" applyFont="1" applyFill="1" applyBorder="1" applyAlignment="1">
      <alignment vertical="center"/>
    </xf>
    <xf numFmtId="166" fontId="14" fillId="7" borderId="15" xfId="19" applyNumberFormat="1" applyFont="1" applyFill="1" applyBorder="1" applyAlignment="1">
      <alignment vertical="center"/>
    </xf>
    <xf numFmtId="166" fontId="14" fillId="7" borderId="6" xfId="19" applyNumberFormat="1" applyFont="1" applyFill="1" applyBorder="1" applyAlignment="1">
      <alignment vertical="center"/>
    </xf>
    <xf numFmtId="166" fontId="14" fillId="7" borderId="105" xfId="19" applyNumberFormat="1" applyFont="1" applyFill="1" applyBorder="1" applyAlignment="1">
      <alignment vertical="center"/>
    </xf>
    <xf numFmtId="167" fontId="13" fillId="0" borderId="0" xfId="19" applyNumberFormat="1" applyFont="1"/>
    <xf numFmtId="166" fontId="14" fillId="0" borderId="0" xfId="19" applyNumberFormat="1" applyFont="1"/>
    <xf numFmtId="166" fontId="25" fillId="0" borderId="0" xfId="19" applyNumberFormat="1" applyFont="1"/>
    <xf numFmtId="166" fontId="28" fillId="0" borderId="0" xfId="19" applyNumberFormat="1" applyFont="1"/>
    <xf numFmtId="0" fontId="13" fillId="0" borderId="0" xfId="19" applyFont="1" applyBorder="1" applyAlignment="1">
      <alignment vertical="center"/>
    </xf>
    <xf numFmtId="0" fontId="14" fillId="3" borderId="11" xfId="19" applyFont="1" applyFill="1" applyBorder="1" applyAlignment="1">
      <alignment horizontal="right" vertical="center" wrapText="1"/>
    </xf>
    <xf numFmtId="0" fontId="14" fillId="3" borderId="3" xfId="19" applyFont="1" applyFill="1" applyBorder="1" applyAlignment="1">
      <alignment horizontal="right" vertical="center" wrapText="1"/>
    </xf>
    <xf numFmtId="166" fontId="14" fillId="3" borderId="3" xfId="19" applyNumberFormat="1" applyFont="1" applyFill="1" applyBorder="1" applyAlignment="1">
      <alignment horizontal="right" vertical="center" wrapText="1"/>
    </xf>
    <xf numFmtId="0" fontId="14" fillId="3" borderId="3" xfId="19" applyFont="1" applyFill="1" applyBorder="1" applyAlignment="1">
      <alignment horizontal="center" vertical="center" wrapText="1"/>
    </xf>
    <xf numFmtId="0" fontId="14" fillId="3" borderId="1" xfId="19" applyFont="1" applyFill="1" applyBorder="1" applyAlignment="1">
      <alignment horizontal="center" vertical="center" wrapText="1"/>
    </xf>
    <xf numFmtId="166" fontId="14" fillId="3" borderId="3" xfId="19" applyNumberFormat="1" applyFont="1" applyFill="1" applyBorder="1" applyAlignment="1">
      <alignment horizontal="center" vertical="center" wrapText="1"/>
    </xf>
    <xf numFmtId="2" fontId="14" fillId="3" borderId="1" xfId="19" applyNumberFormat="1" applyFont="1" applyFill="1" applyBorder="1" applyAlignment="1">
      <alignment horizontal="center" vertical="center" wrapText="1"/>
    </xf>
    <xf numFmtId="2" fontId="14" fillId="3" borderId="3" xfId="19" applyNumberFormat="1" applyFont="1" applyFill="1" applyBorder="1" applyAlignment="1">
      <alignment horizontal="center" vertical="center" wrapText="1"/>
    </xf>
    <xf numFmtId="2" fontId="14" fillId="3" borderId="3" xfId="19" applyNumberFormat="1" applyFont="1" applyFill="1" applyBorder="1" applyAlignment="1">
      <alignment horizontal="right" vertical="center" wrapText="1"/>
    </xf>
    <xf numFmtId="2" fontId="14" fillId="3" borderId="27" xfId="19" applyNumberFormat="1" applyFont="1" applyFill="1" applyBorder="1" applyAlignment="1">
      <alignment horizontal="right" vertical="center" wrapText="1"/>
    </xf>
    <xf numFmtId="2" fontId="14" fillId="3" borderId="12" xfId="19" applyNumberFormat="1" applyFont="1" applyFill="1" applyBorder="1" applyAlignment="1">
      <alignment horizontal="right" vertical="center" wrapText="1"/>
    </xf>
    <xf numFmtId="2" fontId="14" fillId="3" borderId="110" xfId="19" applyNumberFormat="1" applyFont="1" applyFill="1" applyBorder="1" applyAlignment="1">
      <alignment horizontal="right" vertical="center" wrapText="1"/>
    </xf>
    <xf numFmtId="0" fontId="13" fillId="0" borderId="0" xfId="19" applyFont="1" applyBorder="1" applyAlignment="1">
      <alignment vertical="center" wrapText="1"/>
    </xf>
    <xf numFmtId="0" fontId="13" fillId="0" borderId="0" xfId="19" applyFont="1" applyAlignment="1">
      <alignment vertical="center" wrapText="1"/>
    </xf>
    <xf numFmtId="0" fontId="14" fillId="7" borderId="56" xfId="9" applyFont="1" applyFill="1" applyBorder="1" applyAlignment="1">
      <alignment horizontal="center" vertical="center"/>
    </xf>
    <xf numFmtId="0" fontId="14" fillId="7" borderId="11" xfId="9" applyFont="1" applyFill="1" applyBorder="1" applyAlignment="1">
      <alignment horizontal="center" vertical="center"/>
    </xf>
    <xf numFmtId="0" fontId="14" fillId="7" borderId="3" xfId="9" applyFont="1" applyFill="1" applyBorder="1" applyAlignment="1">
      <alignment horizontal="center" vertical="center"/>
    </xf>
    <xf numFmtId="0" fontId="14" fillId="7" borderId="2" xfId="19" applyFont="1" applyFill="1" applyBorder="1" applyAlignment="1">
      <alignment horizontal="right" vertical="center" wrapText="1"/>
    </xf>
    <xf numFmtId="166" fontId="14" fillId="7" borderId="2" xfId="19" applyNumberFormat="1" applyFont="1" applyFill="1" applyBorder="1" applyAlignment="1">
      <alignment horizontal="right" vertical="center" wrapText="1"/>
    </xf>
    <xf numFmtId="0" fontId="14" fillId="7" borderId="3" xfId="19" applyFont="1" applyFill="1" applyBorder="1" applyAlignment="1">
      <alignment horizontal="center" vertical="center" wrapText="1"/>
    </xf>
    <xf numFmtId="0" fontId="14" fillId="7" borderId="3" xfId="19" quotePrefix="1" applyFont="1" applyFill="1" applyBorder="1" applyAlignment="1">
      <alignment horizontal="center" vertical="center" wrapText="1"/>
    </xf>
    <xf numFmtId="166" fontId="14" fillId="7" borderId="3" xfId="9" applyNumberFormat="1" applyFont="1" applyFill="1" applyBorder="1" applyAlignment="1">
      <alignment horizontal="center" vertical="center"/>
    </xf>
    <xf numFmtId="2" fontId="14" fillId="7" borderId="3" xfId="9" applyNumberFormat="1" applyFont="1" applyFill="1" applyBorder="1" applyAlignment="1">
      <alignment horizontal="center" vertical="center"/>
    </xf>
    <xf numFmtId="166" fontId="14" fillId="7" borderId="3" xfId="9" quotePrefix="1" applyNumberFormat="1" applyFont="1" applyFill="1" applyBorder="1" applyAlignment="1">
      <alignment horizontal="center" vertical="center"/>
    </xf>
    <xf numFmtId="2" fontId="14" fillId="7" borderId="1" xfId="9" quotePrefix="1" applyNumberFormat="1" applyFont="1" applyFill="1" applyBorder="1" applyAlignment="1">
      <alignment horizontal="center" vertical="center"/>
    </xf>
    <xf numFmtId="2" fontId="14" fillId="7" borderId="3" xfId="9" quotePrefix="1" applyNumberFormat="1" applyFont="1" applyFill="1" applyBorder="1" applyAlignment="1">
      <alignment horizontal="center" vertical="center"/>
    </xf>
    <xf numFmtId="166" fontId="14" fillId="7" borderId="3" xfId="9" quotePrefix="1" applyNumberFormat="1" applyFont="1" applyFill="1" applyBorder="1" applyAlignment="1">
      <alignment horizontal="right" vertical="center"/>
    </xf>
    <xf numFmtId="2" fontId="14" fillId="7" borderId="3" xfId="9" quotePrefix="1" applyNumberFormat="1" applyFont="1" applyFill="1" applyBorder="1" applyAlignment="1">
      <alignment horizontal="right" vertical="center"/>
    </xf>
    <xf numFmtId="2" fontId="14" fillId="7" borderId="1" xfId="9" quotePrefix="1" applyNumberFormat="1" applyFont="1" applyFill="1" applyBorder="1" applyAlignment="1">
      <alignment horizontal="right" vertical="center"/>
    </xf>
    <xf numFmtId="2" fontId="14" fillId="7" borderId="57" xfId="9" quotePrefix="1" applyNumberFormat="1" applyFont="1" applyFill="1" applyBorder="1" applyAlignment="1">
      <alignment horizontal="right" vertical="center"/>
    </xf>
    <xf numFmtId="0" fontId="14" fillId="0" borderId="99" xfId="19" applyFont="1" applyBorder="1" applyAlignment="1">
      <alignment vertical="center" wrapText="1"/>
    </xf>
    <xf numFmtId="0" fontId="13" fillId="0" borderId="0" xfId="19" applyFont="1" applyBorder="1" applyAlignment="1">
      <alignment horizontal="right" vertical="center" wrapText="1"/>
    </xf>
    <xf numFmtId="166" fontId="13" fillId="0" borderId="0" xfId="19" applyNumberFormat="1" applyFont="1" applyBorder="1" applyAlignment="1">
      <alignment horizontal="right" vertical="center" wrapText="1"/>
    </xf>
    <xf numFmtId="166" fontId="13" fillId="0" borderId="0" xfId="19" applyNumberFormat="1" applyFont="1" applyBorder="1" applyAlignment="1">
      <alignment vertical="center" wrapText="1"/>
    </xf>
    <xf numFmtId="0" fontId="13" fillId="0" borderId="13" xfId="19" applyFont="1" applyBorder="1" applyAlignment="1">
      <alignment vertical="center" wrapText="1"/>
    </xf>
    <xf numFmtId="166" fontId="13" fillId="0" borderId="13" xfId="19" applyNumberFormat="1" applyFont="1" applyBorder="1" applyAlignment="1">
      <alignment vertical="center" wrapText="1"/>
    </xf>
    <xf numFmtId="2" fontId="13" fillId="0" borderId="13" xfId="19" applyNumberFormat="1" applyFont="1" applyBorder="1" applyAlignment="1">
      <alignment vertical="center" wrapText="1"/>
    </xf>
    <xf numFmtId="166" fontId="13" fillId="0" borderId="12" xfId="19" applyNumberFormat="1" applyFont="1" applyBorder="1" applyAlignment="1">
      <alignment vertical="center" wrapText="1"/>
    </xf>
    <xf numFmtId="2" fontId="13" fillId="0" borderId="14" xfId="19" applyNumberFormat="1" applyFont="1" applyBorder="1" applyAlignment="1">
      <alignment vertical="center" wrapText="1"/>
    </xf>
    <xf numFmtId="2" fontId="13" fillId="0" borderId="4" xfId="19" applyNumberFormat="1" applyFont="1" applyBorder="1" applyAlignment="1">
      <alignment vertical="center" wrapText="1"/>
    </xf>
    <xf numFmtId="2" fontId="13" fillId="0" borderId="0" xfId="19" applyNumberFormat="1" applyFont="1" applyBorder="1" applyAlignment="1">
      <alignment vertical="center" wrapText="1"/>
    </xf>
    <xf numFmtId="2" fontId="13" fillId="0" borderId="49" xfId="19" applyNumberFormat="1" applyFont="1" applyBorder="1" applyAlignment="1">
      <alignment vertical="center" wrapText="1"/>
    </xf>
    <xf numFmtId="0" fontId="13" fillId="0" borderId="44" xfId="19" applyFont="1" applyBorder="1" applyAlignment="1">
      <alignment horizontal="right" vertical="center"/>
    </xf>
    <xf numFmtId="167" fontId="13" fillId="0" borderId="42" xfId="9" applyNumberFormat="1" applyFont="1" applyBorder="1" applyAlignment="1">
      <alignment horizontal="right" vertical="center"/>
    </xf>
    <xf numFmtId="0" fontId="13" fillId="0" borderId="42" xfId="19" applyFont="1" applyBorder="1" applyAlignment="1">
      <alignment horizontal="right" vertical="center"/>
    </xf>
    <xf numFmtId="0" fontId="13" fillId="0" borderId="42" xfId="19" applyFont="1" applyBorder="1" applyAlignment="1">
      <alignment vertical="center"/>
    </xf>
    <xf numFmtId="166" fontId="13" fillId="0" borderId="42" xfId="9" applyNumberFormat="1" applyFont="1" applyBorder="1" applyAlignment="1">
      <alignment horizontal="right" vertical="center"/>
    </xf>
    <xf numFmtId="166" fontId="13" fillId="0" borderId="42" xfId="19" applyNumberFormat="1" applyFont="1" applyBorder="1" applyAlignment="1">
      <alignment vertical="center"/>
    </xf>
    <xf numFmtId="2" fontId="13" fillId="0" borderId="42" xfId="9" applyNumberFormat="1" applyFont="1" applyBorder="1" applyAlignment="1">
      <alignment horizontal="right" vertical="center"/>
    </xf>
    <xf numFmtId="2" fontId="13" fillId="0" borderId="122" xfId="9" applyNumberFormat="1" applyFont="1" applyBorder="1" applyAlignment="1">
      <alignment horizontal="right" vertical="center"/>
    </xf>
    <xf numFmtId="166" fontId="13" fillId="0" borderId="41" xfId="19" applyNumberFormat="1" applyFont="1" applyBorder="1" applyAlignment="1">
      <alignment vertical="center"/>
    </xf>
    <xf numFmtId="2" fontId="13" fillId="0" borderId="43" xfId="9" applyNumberFormat="1" applyFont="1" applyBorder="1" applyAlignment="1">
      <alignment horizontal="right" vertical="center"/>
    </xf>
    <xf numFmtId="2" fontId="13" fillId="0" borderId="65" xfId="9" applyNumberFormat="1" applyFont="1" applyBorder="1" applyAlignment="1">
      <alignment horizontal="right" vertical="center"/>
    </xf>
    <xf numFmtId="0" fontId="13" fillId="0" borderId="38" xfId="19" applyFont="1" applyBorder="1" applyAlignment="1">
      <alignment horizontal="right" vertical="center"/>
    </xf>
    <xf numFmtId="167" fontId="13" fillId="0" borderId="36" xfId="9" applyNumberFormat="1" applyFont="1" applyBorder="1" applyAlignment="1">
      <alignment horizontal="right" vertical="center"/>
    </xf>
    <xf numFmtId="0" fontId="13" fillId="0" borderId="36" xfId="19" applyFont="1" applyBorder="1" applyAlignment="1">
      <alignment horizontal="right" vertical="center"/>
    </xf>
    <xf numFmtId="0" fontId="13" fillId="0" borderId="36" xfId="19" applyFont="1" applyBorder="1" applyAlignment="1">
      <alignment vertical="center"/>
    </xf>
    <xf numFmtId="166" fontId="13" fillId="0" borderId="36" xfId="9" applyNumberFormat="1" applyFont="1" applyBorder="1" applyAlignment="1">
      <alignment horizontal="right" vertical="center"/>
    </xf>
    <xf numFmtId="166" fontId="13" fillId="0" borderId="36" xfId="19" applyNumberFormat="1" applyFont="1" applyBorder="1" applyAlignment="1">
      <alignment vertical="center"/>
    </xf>
    <xf numFmtId="2" fontId="13" fillId="0" borderId="36" xfId="9" applyNumberFormat="1" applyFont="1" applyBorder="1" applyAlignment="1">
      <alignment horizontal="right" vertical="center"/>
    </xf>
    <xf numFmtId="2" fontId="13" fillId="0" borderId="119" xfId="9" applyNumberFormat="1" applyFont="1" applyBorder="1" applyAlignment="1">
      <alignment horizontal="right" vertical="center"/>
    </xf>
    <xf numFmtId="166" fontId="13" fillId="0" borderId="35" xfId="19" applyNumberFormat="1" applyFont="1" applyBorder="1" applyAlignment="1">
      <alignment vertical="center"/>
    </xf>
    <xf numFmtId="2" fontId="13" fillId="0" borderId="37" xfId="9" applyNumberFormat="1" applyFont="1" applyBorder="1" applyAlignment="1">
      <alignment horizontal="right" vertical="center"/>
    </xf>
    <xf numFmtId="2" fontId="13" fillId="0" borderId="61" xfId="9" applyNumberFormat="1" applyFont="1" applyBorder="1" applyAlignment="1">
      <alignment horizontal="right" vertical="center"/>
    </xf>
    <xf numFmtId="0" fontId="13" fillId="0" borderId="96" xfId="9" applyFont="1" applyBorder="1" applyAlignment="1">
      <alignment vertical="center"/>
    </xf>
    <xf numFmtId="0" fontId="13" fillId="0" borderId="121" xfId="19" applyFont="1" applyBorder="1" applyAlignment="1">
      <alignment horizontal="right" vertical="center"/>
    </xf>
    <xf numFmtId="167" fontId="13" fillId="0" borderId="59" xfId="9" applyNumberFormat="1" applyFont="1" applyBorder="1" applyAlignment="1">
      <alignment horizontal="right" vertical="center"/>
    </xf>
    <xf numFmtId="0" fontId="13" fillId="0" borderId="59" xfId="19" applyFont="1" applyBorder="1" applyAlignment="1">
      <alignment horizontal="right" vertical="center"/>
    </xf>
    <xf numFmtId="0" fontId="13" fillId="0" borderId="59" xfId="19" applyFont="1" applyBorder="1" applyAlignment="1">
      <alignment vertical="center"/>
    </xf>
    <xf numFmtId="166" fontId="13" fillId="0" borderId="59" xfId="9" applyNumberFormat="1" applyFont="1" applyBorder="1" applyAlignment="1">
      <alignment horizontal="right" vertical="center"/>
    </xf>
    <xf numFmtId="166" fontId="13" fillId="0" borderId="59" xfId="19" applyNumberFormat="1" applyFont="1" applyBorder="1" applyAlignment="1">
      <alignment vertical="center"/>
    </xf>
    <xf numFmtId="2" fontId="13" fillId="0" borderId="59" xfId="9" applyNumberFormat="1" applyFont="1" applyBorder="1" applyAlignment="1">
      <alignment horizontal="right" vertical="center"/>
    </xf>
    <xf numFmtId="2" fontId="13" fillId="0" borderId="123" xfId="9" applyNumberFormat="1" applyFont="1" applyBorder="1" applyAlignment="1">
      <alignment horizontal="right" vertical="center"/>
    </xf>
    <xf numFmtId="166" fontId="13" fillId="0" borderId="85" xfId="19" applyNumberFormat="1" applyFont="1" applyBorder="1" applyAlignment="1">
      <alignment vertical="center"/>
    </xf>
    <xf numFmtId="2" fontId="13" fillId="0" borderId="86" xfId="9" applyNumberFormat="1" applyFont="1" applyBorder="1" applyAlignment="1">
      <alignment horizontal="right" vertical="center"/>
    </xf>
    <xf numFmtId="2" fontId="13" fillId="0" borderId="71" xfId="9" applyNumberFormat="1" applyFont="1" applyBorder="1" applyAlignment="1">
      <alignment horizontal="right" vertical="center"/>
    </xf>
    <xf numFmtId="0" fontId="14" fillId="7" borderId="2" xfId="19" applyFont="1" applyFill="1" applyBorder="1" applyAlignment="1">
      <alignment horizontal="right" vertical="center"/>
    </xf>
    <xf numFmtId="167" fontId="14" fillId="7" borderId="2" xfId="9" applyNumberFormat="1" applyFont="1" applyFill="1" applyBorder="1" applyAlignment="1">
      <alignment horizontal="right" vertical="center"/>
    </xf>
    <xf numFmtId="0" fontId="14" fillId="7" borderId="2" xfId="19" applyFont="1" applyFill="1" applyBorder="1" applyAlignment="1">
      <alignment vertical="center"/>
    </xf>
    <xf numFmtId="166" fontId="14" fillId="7" borderId="2" xfId="9" applyNumberFormat="1" applyFont="1" applyFill="1" applyBorder="1" applyAlignment="1">
      <alignment horizontal="right" vertical="center"/>
    </xf>
    <xf numFmtId="166" fontId="14" fillId="7" borderId="2" xfId="19" applyNumberFormat="1" applyFont="1" applyFill="1" applyBorder="1" applyAlignment="1">
      <alignment vertical="center"/>
    </xf>
    <xf numFmtId="2" fontId="14" fillId="7" borderId="2" xfId="9" applyNumberFormat="1" applyFont="1" applyFill="1" applyBorder="1" applyAlignment="1">
      <alignment horizontal="right" vertical="center"/>
    </xf>
    <xf numFmtId="166" fontId="14" fillId="7" borderId="1" xfId="19" applyNumberFormat="1" applyFont="1" applyFill="1" applyBorder="1" applyAlignment="1">
      <alignment vertical="center"/>
    </xf>
    <xf numFmtId="2" fontId="14" fillId="7" borderId="11" xfId="9" applyNumberFormat="1" applyFont="1" applyFill="1" applyBorder="1" applyAlignment="1">
      <alignment horizontal="right" vertical="center"/>
    </xf>
    <xf numFmtId="166" fontId="14" fillId="7" borderId="1" xfId="9" applyNumberFormat="1" applyFont="1" applyFill="1" applyBorder="1" applyAlignment="1">
      <alignment horizontal="right" vertical="center"/>
    </xf>
    <xf numFmtId="2" fontId="14" fillId="7" borderId="93" xfId="9" applyNumberFormat="1" applyFont="1" applyFill="1" applyBorder="1" applyAlignment="1">
      <alignment horizontal="right" vertical="center"/>
    </xf>
    <xf numFmtId="1" fontId="13" fillId="0" borderId="36" xfId="9" applyNumberFormat="1" applyFont="1" applyBorder="1" applyAlignment="1">
      <alignment horizontal="right" vertical="center"/>
    </xf>
    <xf numFmtId="1" fontId="13" fillId="0" borderId="96" xfId="9" applyNumberFormat="1" applyFont="1" applyBorder="1" applyAlignment="1">
      <alignment horizontal="left" vertical="center"/>
    </xf>
    <xf numFmtId="166" fontId="13" fillId="0" borderId="38" xfId="19" applyNumberFormat="1" applyFont="1" applyBorder="1" applyAlignment="1">
      <alignment horizontal="right" vertical="center"/>
    </xf>
    <xf numFmtId="166" fontId="13" fillId="0" borderId="36" xfId="19" applyNumberFormat="1" applyFont="1" applyBorder="1" applyAlignment="1">
      <alignment horizontal="right" vertical="center"/>
    </xf>
    <xf numFmtId="166" fontId="13" fillId="0" borderId="0" xfId="19" applyNumberFormat="1" applyFont="1" applyBorder="1" applyAlignment="1">
      <alignment horizontal="right" vertical="center"/>
    </xf>
    <xf numFmtId="166" fontId="13" fillId="0" borderId="96" xfId="8" applyNumberFormat="1" applyFont="1" applyBorder="1" applyAlignment="1">
      <alignment horizontal="left" vertical="center"/>
    </xf>
    <xf numFmtId="1" fontId="13" fillId="0" borderId="36" xfId="19" applyNumberFormat="1" applyFont="1" applyBorder="1" applyAlignment="1">
      <alignment vertical="center"/>
    </xf>
    <xf numFmtId="49" fontId="13" fillId="0" borderId="96" xfId="9" applyNumberFormat="1" applyFont="1" applyBorder="1" applyAlignment="1">
      <alignment vertical="center"/>
    </xf>
    <xf numFmtId="166" fontId="13" fillId="0" borderId="96" xfId="9" applyNumberFormat="1" applyFont="1" applyBorder="1" applyAlignment="1">
      <alignment horizontal="left" vertical="center"/>
    </xf>
    <xf numFmtId="166" fontId="13" fillId="0" borderId="116" xfId="8" applyNumberFormat="1" applyFont="1" applyBorder="1" applyAlignment="1">
      <alignment horizontal="left" vertical="center"/>
    </xf>
    <xf numFmtId="0" fontId="13" fillId="0" borderId="0" xfId="19" applyFont="1" applyBorder="1" applyAlignment="1">
      <alignment horizontal="right" vertical="center"/>
    </xf>
    <xf numFmtId="167" fontId="13" fillId="0" borderId="0" xfId="9" applyNumberFormat="1" applyFont="1" applyAlignment="1">
      <alignment horizontal="right" vertical="center"/>
    </xf>
    <xf numFmtId="166" fontId="13" fillId="0" borderId="0" xfId="9" applyNumberFormat="1" applyFont="1" applyAlignment="1">
      <alignment horizontal="right" vertical="center"/>
    </xf>
    <xf numFmtId="2" fontId="13" fillId="0" borderId="0" xfId="9" applyNumberFormat="1" applyFont="1" applyAlignment="1">
      <alignment horizontal="right" vertical="center"/>
    </xf>
    <xf numFmtId="166" fontId="13" fillId="0" borderId="7" xfId="19" applyNumberFormat="1" applyFont="1" applyBorder="1" applyAlignment="1">
      <alignment vertical="center"/>
    </xf>
    <xf numFmtId="2" fontId="13" fillId="0" borderId="4" xfId="9" applyNumberFormat="1" applyFont="1" applyBorder="1" applyAlignment="1">
      <alignment horizontal="right" vertical="center"/>
    </xf>
    <xf numFmtId="0" fontId="13" fillId="0" borderId="96" xfId="9" applyFont="1" applyBorder="1" applyAlignment="1">
      <alignment horizontal="left" vertical="center"/>
    </xf>
    <xf numFmtId="1" fontId="13" fillId="0" borderId="59" xfId="19" applyNumberFormat="1" applyFont="1" applyBorder="1" applyAlignment="1">
      <alignment vertical="center"/>
    </xf>
    <xf numFmtId="0" fontId="13" fillId="0" borderId="62" xfId="19" applyFont="1" applyBorder="1" applyAlignment="1">
      <alignment vertical="center"/>
    </xf>
    <xf numFmtId="166" fontId="13" fillId="0" borderId="7" xfId="9" applyNumberFormat="1" applyFont="1" applyBorder="1" applyAlignment="1">
      <alignment horizontal="right" vertical="center"/>
    </xf>
    <xf numFmtId="2" fontId="13" fillId="0" borderId="49" xfId="9" applyNumberFormat="1" applyFont="1" applyBorder="1" applyAlignment="1">
      <alignment horizontal="right" vertical="center"/>
    </xf>
    <xf numFmtId="1" fontId="13" fillId="0" borderId="0" xfId="19" applyNumberFormat="1" applyFont="1" applyBorder="1" applyAlignment="1">
      <alignment vertical="center"/>
    </xf>
    <xf numFmtId="1" fontId="13" fillId="0" borderId="62" xfId="9" applyNumberFormat="1" applyFont="1" applyBorder="1" applyAlignment="1">
      <alignment horizontal="left" vertical="center"/>
    </xf>
    <xf numFmtId="0" fontId="14" fillId="7" borderId="3" xfId="19" applyFont="1" applyFill="1" applyBorder="1" applyAlignment="1">
      <alignment horizontal="right" vertical="center"/>
    </xf>
    <xf numFmtId="167" fontId="14" fillId="7" borderId="3" xfId="9" applyNumberFormat="1" applyFont="1" applyFill="1" applyBorder="1" applyAlignment="1">
      <alignment horizontal="right" vertical="center"/>
    </xf>
    <xf numFmtId="166" fontId="14" fillId="7" borderId="3" xfId="9" applyNumberFormat="1" applyFont="1" applyFill="1" applyBorder="1" applyAlignment="1">
      <alignment horizontal="right" vertical="center"/>
    </xf>
    <xf numFmtId="2" fontId="14" fillId="7" borderId="3" xfId="9" applyNumberFormat="1" applyFont="1" applyFill="1" applyBorder="1" applyAlignment="1">
      <alignment horizontal="right" vertical="center"/>
    </xf>
    <xf numFmtId="2" fontId="14" fillId="7" borderId="57" xfId="9" applyNumberFormat="1" applyFont="1" applyFill="1" applyBorder="1" applyAlignment="1">
      <alignment horizontal="right" vertical="center"/>
    </xf>
    <xf numFmtId="0" fontId="14" fillId="7" borderId="23" xfId="19" applyFont="1" applyFill="1" applyBorder="1" applyAlignment="1">
      <alignment vertical="center"/>
    </xf>
    <xf numFmtId="1" fontId="14" fillId="7" borderId="23" xfId="19" applyNumberFormat="1" applyFont="1" applyFill="1" applyBorder="1" applyAlignment="1">
      <alignment vertical="center"/>
    </xf>
    <xf numFmtId="2" fontId="14" fillId="7" borderId="23" xfId="19" applyNumberFormat="1" applyFont="1" applyFill="1" applyBorder="1" applyAlignment="1">
      <alignment vertical="center"/>
    </xf>
    <xf numFmtId="2" fontId="14" fillId="7" borderId="23" xfId="9" applyNumberFormat="1" applyFont="1" applyFill="1" applyBorder="1" applyAlignment="1">
      <alignment horizontal="right" vertical="center"/>
    </xf>
    <xf numFmtId="166" fontId="14" fillId="7" borderId="23" xfId="9" applyNumberFormat="1" applyFont="1" applyFill="1" applyBorder="1" applyAlignment="1">
      <alignment horizontal="right" vertical="center"/>
    </xf>
    <xf numFmtId="2" fontId="14" fillId="7" borderId="102" xfId="9" applyNumberFormat="1" applyFont="1" applyFill="1" applyBorder="1" applyAlignment="1">
      <alignment horizontal="right" vertical="center"/>
    </xf>
    <xf numFmtId="0" fontId="14" fillId="0" borderId="62" xfId="19" applyFont="1" applyBorder="1" applyAlignment="1">
      <alignment vertical="center"/>
    </xf>
    <xf numFmtId="2" fontId="13" fillId="0" borderId="0" xfId="19" applyNumberFormat="1" applyFont="1" applyBorder="1" applyAlignment="1">
      <alignment vertical="center"/>
    </xf>
    <xf numFmtId="2" fontId="13" fillId="0" borderId="4" xfId="19" applyNumberFormat="1" applyFont="1" applyBorder="1" applyAlignment="1">
      <alignment vertical="center"/>
    </xf>
    <xf numFmtId="2" fontId="13" fillId="0" borderId="49" xfId="19" applyNumberFormat="1" applyFont="1" applyBorder="1" applyAlignment="1">
      <alignment vertical="center"/>
    </xf>
    <xf numFmtId="2" fontId="13" fillId="0" borderId="36" xfId="19" applyNumberFormat="1" applyFont="1" applyBorder="1" applyAlignment="1">
      <alignment vertical="center"/>
    </xf>
    <xf numFmtId="0" fontId="13" fillId="0" borderId="100" xfId="19" applyFont="1" applyBorder="1" applyAlignment="1">
      <alignment vertical="center"/>
    </xf>
    <xf numFmtId="0" fontId="13" fillId="0" borderId="5" xfId="19" applyFont="1" applyBorder="1" applyAlignment="1">
      <alignment horizontal="right" vertical="center"/>
    </xf>
    <xf numFmtId="166" fontId="13" fillId="0" borderId="5" xfId="19" applyNumberFormat="1" applyFont="1" applyBorder="1" applyAlignment="1">
      <alignment horizontal="right" vertical="center"/>
    </xf>
    <xf numFmtId="0" fontId="13" fillId="0" borderId="5" xfId="19" applyFont="1" applyBorder="1" applyAlignment="1">
      <alignment vertical="center"/>
    </xf>
    <xf numFmtId="166" fontId="13" fillId="0" borderId="5" xfId="19" applyNumberFormat="1" applyFont="1" applyBorder="1" applyAlignment="1">
      <alignment vertical="center"/>
    </xf>
    <xf numFmtId="2" fontId="13" fillId="0" borderId="5" xfId="19" applyNumberFormat="1" applyFont="1" applyBorder="1" applyAlignment="1">
      <alignment vertical="center"/>
    </xf>
    <xf numFmtId="2" fontId="13" fillId="0" borderId="5" xfId="9" applyNumberFormat="1" applyFont="1" applyBorder="1" applyAlignment="1">
      <alignment horizontal="right" vertical="center"/>
    </xf>
    <xf numFmtId="166" fontId="13" fillId="0" borderId="5" xfId="9" applyNumberFormat="1" applyFont="1" applyBorder="1" applyAlignment="1">
      <alignment horizontal="right" vertical="center"/>
    </xf>
    <xf numFmtId="166" fontId="13" fillId="0" borderId="8" xfId="19" applyNumberFormat="1" applyFont="1" applyBorder="1" applyAlignment="1">
      <alignment vertical="center"/>
    </xf>
    <xf numFmtId="1" fontId="14" fillId="7" borderId="2" xfId="19" applyNumberFormat="1" applyFont="1" applyFill="1" applyBorder="1" applyAlignment="1">
      <alignment vertical="center"/>
    </xf>
    <xf numFmtId="166" fontId="14" fillId="7" borderId="13" xfId="19" applyNumberFormat="1" applyFont="1" applyFill="1" applyBorder="1" applyAlignment="1">
      <alignment vertical="center"/>
    </xf>
    <xf numFmtId="1" fontId="14" fillId="7" borderId="13" xfId="19" applyNumberFormat="1" applyFont="1" applyFill="1" applyBorder="1" applyAlignment="1">
      <alignment vertical="center"/>
    </xf>
    <xf numFmtId="2" fontId="14" fillId="7" borderId="2" xfId="19" applyNumberFormat="1" applyFont="1" applyFill="1" applyBorder="1" applyAlignment="1">
      <alignment vertical="center"/>
    </xf>
    <xf numFmtId="2" fontId="14" fillId="7" borderId="11" xfId="19" applyNumberFormat="1" applyFont="1" applyFill="1" applyBorder="1" applyAlignment="1">
      <alignment vertical="center"/>
    </xf>
    <xf numFmtId="2" fontId="14" fillId="7" borderId="93" xfId="19" applyNumberFormat="1" applyFont="1" applyFill="1" applyBorder="1" applyAlignment="1">
      <alignment vertical="center"/>
    </xf>
    <xf numFmtId="0" fontId="14" fillId="7" borderId="103" xfId="19" applyFont="1" applyFill="1" applyBorder="1" applyAlignment="1">
      <alignment vertical="center" wrapText="1"/>
    </xf>
    <xf numFmtId="166" fontId="14" fillId="7" borderId="6" xfId="19" applyNumberFormat="1" applyFont="1" applyFill="1" applyBorder="1" applyAlignment="1">
      <alignment horizontal="right" vertical="center"/>
    </xf>
    <xf numFmtId="0" fontId="14" fillId="7" borderId="6" xfId="19" applyFont="1" applyFill="1" applyBorder="1" applyAlignment="1">
      <alignment horizontal="right" vertical="center"/>
    </xf>
    <xf numFmtId="0" fontId="14" fillId="7" borderId="6" xfId="19" applyFont="1" applyFill="1" applyBorder="1" applyAlignment="1">
      <alignment vertical="center"/>
    </xf>
    <xf numFmtId="2" fontId="14" fillId="7" borderId="6" xfId="19" applyNumberFormat="1" applyFont="1" applyFill="1" applyBorder="1" applyAlignment="1">
      <alignment horizontal="right" vertical="center"/>
    </xf>
    <xf numFmtId="2" fontId="14" fillId="7" borderId="16" xfId="19" applyNumberFormat="1" applyFont="1" applyFill="1" applyBorder="1" applyAlignment="1">
      <alignment horizontal="right" vertical="center"/>
    </xf>
    <xf numFmtId="166" fontId="14" fillId="7" borderId="15" xfId="19" applyNumberFormat="1" applyFont="1" applyFill="1" applyBorder="1" applyAlignment="1">
      <alignment horizontal="right" vertical="center"/>
    </xf>
    <xf numFmtId="166" fontId="14" fillId="7" borderId="23" xfId="19" applyNumberFormat="1" applyFont="1" applyFill="1" applyBorder="1" applyAlignment="1">
      <alignment horizontal="right" vertical="center"/>
    </xf>
    <xf numFmtId="2" fontId="14" fillId="7" borderId="105" xfId="19" applyNumberFormat="1" applyFont="1" applyFill="1" applyBorder="1" applyAlignment="1">
      <alignment horizontal="right" vertical="center"/>
    </xf>
    <xf numFmtId="0" fontId="13" fillId="0" borderId="0" xfId="19" applyFont="1" applyAlignment="1">
      <alignment horizontal="right"/>
    </xf>
    <xf numFmtId="166" fontId="13" fillId="0" borderId="0" xfId="19" applyNumberFormat="1" applyFont="1" applyAlignment="1">
      <alignment horizontal="right"/>
    </xf>
    <xf numFmtId="2" fontId="13" fillId="0" borderId="0" xfId="19" applyNumberFormat="1" applyFont="1"/>
    <xf numFmtId="165" fontId="13" fillId="0" borderId="35" xfId="0" applyNumberFormat="1" applyFont="1" applyBorder="1" applyAlignment="1">
      <alignment horizontal="right" vertical="center"/>
    </xf>
    <xf numFmtId="0" fontId="13" fillId="0" borderId="60" xfId="0" applyFont="1" applyBorder="1" applyAlignment="1">
      <alignment vertical="center"/>
    </xf>
    <xf numFmtId="166" fontId="13" fillId="0" borderId="85" xfId="0" applyNumberFormat="1" applyFont="1" applyBorder="1" applyAlignment="1">
      <alignment horizontal="right" vertical="center"/>
    </xf>
    <xf numFmtId="2" fontId="13" fillId="0" borderId="86" xfId="0" applyNumberFormat="1" applyFont="1" applyBorder="1" applyAlignment="1">
      <alignment horizontal="right" vertical="center"/>
    </xf>
    <xf numFmtId="2" fontId="13" fillId="0" borderId="0" xfId="0" applyNumberFormat="1" applyFont="1" applyAlignment="1">
      <alignment horizontal="right"/>
    </xf>
    <xf numFmtId="166" fontId="14" fillId="5" borderId="6" xfId="0" applyNumberFormat="1" applyFont="1" applyFill="1" applyBorder="1" applyAlignment="1">
      <alignment horizontal="right" vertical="center"/>
    </xf>
    <xf numFmtId="17" fontId="13" fillId="0" borderId="96" xfId="0" applyNumberFormat="1" applyFont="1" applyBorder="1" applyAlignment="1">
      <alignment horizontal="left" vertical="center"/>
    </xf>
    <xf numFmtId="2" fontId="13" fillId="0" borderId="42" xfId="0" applyNumberFormat="1" applyFont="1" applyBorder="1" applyAlignment="1">
      <alignment horizontal="right" vertical="center"/>
    </xf>
    <xf numFmtId="2" fontId="13" fillId="0" borderId="65" xfId="0" applyNumberFormat="1" applyFont="1" applyBorder="1" applyAlignment="1">
      <alignment horizontal="right" vertical="center"/>
    </xf>
    <xf numFmtId="2" fontId="13" fillId="0" borderId="63" xfId="0" applyNumberFormat="1" applyFont="1" applyBorder="1" applyAlignment="1">
      <alignment horizontal="right" vertical="center"/>
    </xf>
    <xf numFmtId="2" fontId="13" fillId="0" borderId="68" xfId="0" applyNumberFormat="1" applyFont="1" applyBorder="1" applyAlignment="1">
      <alignment horizontal="right" vertical="center"/>
    </xf>
    <xf numFmtId="1" fontId="13" fillId="0" borderId="0" xfId="0" applyNumberFormat="1" applyFont="1"/>
    <xf numFmtId="0" fontId="13" fillId="0" borderId="101" xfId="0" applyFont="1" applyBorder="1" applyAlignment="1">
      <alignment vertical="center"/>
    </xf>
    <xf numFmtId="0" fontId="13" fillId="0" borderId="0" xfId="0" applyFont="1" applyAlignment="1">
      <alignment horizontal="right" vertical="center" wrapText="1"/>
    </xf>
    <xf numFmtId="166" fontId="13" fillId="0" borderId="42" xfId="0" applyNumberFormat="1" applyFont="1" applyBorder="1" applyAlignment="1">
      <alignment horizontal="right" vertical="center"/>
    </xf>
    <xf numFmtId="166" fontId="13" fillId="0" borderId="36" xfId="0" applyNumberFormat="1" applyFont="1" applyBorder="1" applyAlignment="1">
      <alignment horizontal="right" vertical="center"/>
    </xf>
    <xf numFmtId="166" fontId="13" fillId="0" borderId="63" xfId="0" applyNumberFormat="1" applyFont="1" applyBorder="1" applyAlignment="1">
      <alignment horizontal="right" vertical="center"/>
    </xf>
    <xf numFmtId="166" fontId="13" fillId="0" borderId="63" xfId="8" applyNumberFormat="1" applyFont="1" applyBorder="1" applyAlignment="1">
      <alignment vertical="center"/>
    </xf>
    <xf numFmtId="166" fontId="14" fillId="0" borderId="93" xfId="0" applyNumberFormat="1" applyFont="1" applyBorder="1" applyAlignment="1">
      <alignment vertical="center"/>
    </xf>
    <xf numFmtId="166" fontId="14" fillId="0" borderId="105" xfId="0" applyNumberFormat="1" applyFont="1" applyBorder="1" applyAlignment="1">
      <alignment horizontal="right" vertical="center"/>
    </xf>
    <xf numFmtId="166" fontId="14" fillId="0" borderId="93" xfId="0" applyNumberFormat="1" applyFont="1" applyBorder="1" applyAlignment="1">
      <alignment horizontal="right" vertical="center"/>
    </xf>
    <xf numFmtId="166" fontId="14" fillId="5" borderId="105" xfId="0" applyNumberFormat="1" applyFont="1" applyFill="1" applyBorder="1" applyAlignment="1">
      <alignment horizontal="right" vertical="center"/>
    </xf>
    <xf numFmtId="165" fontId="13" fillId="0" borderId="0" xfId="20" applyFont="1" applyAlignment="1">
      <alignment vertical="center"/>
    </xf>
    <xf numFmtId="165" fontId="13" fillId="0" borderId="0" xfId="20" applyFont="1" applyAlignment="1">
      <alignment horizontal="right" vertical="center"/>
    </xf>
    <xf numFmtId="165" fontId="14" fillId="0" borderId="0" xfId="20" applyFont="1" applyAlignment="1">
      <alignment vertical="center"/>
    </xf>
    <xf numFmtId="165" fontId="13" fillId="0" borderId="96" xfId="20" applyFont="1" applyBorder="1" applyAlignment="1">
      <alignment vertical="center"/>
    </xf>
    <xf numFmtId="166" fontId="13" fillId="0" borderId="35" xfId="20" applyNumberFormat="1" applyFont="1" applyBorder="1" applyAlignment="1">
      <alignment vertical="center"/>
    </xf>
    <xf numFmtId="166" fontId="13" fillId="0" borderId="36" xfId="20" applyNumberFormat="1" applyFont="1" applyBorder="1" applyAlignment="1">
      <alignment vertical="center"/>
    </xf>
    <xf numFmtId="166" fontId="13" fillId="0" borderId="37" xfId="20" applyNumberFormat="1" applyFont="1" applyBorder="1" applyAlignment="1">
      <alignment vertical="center"/>
    </xf>
    <xf numFmtId="2" fontId="13" fillId="0" borderId="34" xfId="20" applyNumberFormat="1" applyFont="1" applyBorder="1" applyAlignment="1">
      <alignment vertical="center"/>
    </xf>
    <xf numFmtId="166" fontId="14" fillId="0" borderId="34" xfId="20" applyNumberFormat="1" applyFont="1" applyBorder="1" applyAlignment="1">
      <alignment horizontal="right" vertical="center"/>
    </xf>
    <xf numFmtId="165" fontId="14" fillId="0" borderId="0" xfId="21" applyFont="1" applyAlignment="1">
      <alignment vertical="center"/>
    </xf>
    <xf numFmtId="165" fontId="13" fillId="0" borderId="0" xfId="21" applyFont="1" applyAlignment="1">
      <alignment vertical="center"/>
    </xf>
    <xf numFmtId="165" fontId="13" fillId="0" borderId="0" xfId="21" applyFont="1" applyAlignment="1">
      <alignment horizontal="right" vertical="center"/>
    </xf>
    <xf numFmtId="165" fontId="13" fillId="0" borderId="109" xfId="21" applyFont="1" applyBorder="1" applyAlignment="1">
      <alignment vertical="center"/>
    </xf>
    <xf numFmtId="166" fontId="13" fillId="0" borderId="0" xfId="21" applyNumberFormat="1" applyFont="1" applyAlignment="1">
      <alignment vertical="center"/>
    </xf>
    <xf numFmtId="166" fontId="13" fillId="0" borderId="29" xfId="21" applyNumberFormat="1" applyFont="1" applyBorder="1" applyAlignment="1">
      <alignment vertical="center"/>
    </xf>
    <xf numFmtId="2" fontId="13" fillId="0" borderId="30" xfId="21" applyNumberFormat="1" applyFont="1" applyBorder="1" applyAlignment="1">
      <alignment vertical="center"/>
    </xf>
    <xf numFmtId="165" fontId="13" fillId="0" borderId="96" xfId="21" applyFont="1" applyBorder="1" applyAlignment="1">
      <alignment vertical="center"/>
    </xf>
    <xf numFmtId="166" fontId="13" fillId="0" borderId="35" xfId="21" applyNumberFormat="1" applyFont="1" applyBorder="1" applyAlignment="1">
      <alignment vertical="center"/>
    </xf>
    <xf numFmtId="2" fontId="13" fillId="0" borderId="36" xfId="21" applyNumberFormat="1" applyFont="1" applyBorder="1" applyAlignment="1">
      <alignment vertical="center"/>
    </xf>
    <xf numFmtId="165" fontId="13" fillId="0" borderId="101" xfId="21" applyFont="1" applyBorder="1" applyAlignment="1">
      <alignment vertical="center"/>
    </xf>
    <xf numFmtId="166" fontId="13" fillId="0" borderId="79" xfId="21" applyNumberFormat="1" applyFont="1" applyBorder="1" applyAlignment="1">
      <alignment vertical="center"/>
    </xf>
    <xf numFmtId="2" fontId="13" fillId="0" borderId="63" xfId="21" applyNumberFormat="1" applyFont="1" applyBorder="1" applyAlignment="1">
      <alignment vertical="center"/>
    </xf>
    <xf numFmtId="165" fontId="13" fillId="0" borderId="51" xfId="21" applyFont="1" applyBorder="1" applyAlignment="1">
      <alignment vertical="center"/>
    </xf>
    <xf numFmtId="2" fontId="13" fillId="0" borderId="4" xfId="22" applyNumberFormat="1" applyFont="1" applyBorder="1" applyAlignment="1">
      <alignment horizontal="right" vertical="center"/>
    </xf>
    <xf numFmtId="166" fontId="13" fillId="0" borderId="41" xfId="22" applyNumberFormat="1" applyFont="1" applyBorder="1" applyAlignment="1">
      <alignment horizontal="right" vertical="center"/>
    </xf>
    <xf numFmtId="2" fontId="13" fillId="0" borderId="37" xfId="22" applyNumberFormat="1" applyFont="1" applyBorder="1" applyAlignment="1">
      <alignment horizontal="right" vertical="center"/>
    </xf>
    <xf numFmtId="166" fontId="13" fillId="0" borderId="34" xfId="22" applyNumberFormat="1" applyFont="1" applyBorder="1" applyAlignment="1">
      <alignment horizontal="right" vertical="center"/>
    </xf>
    <xf numFmtId="166" fontId="14" fillId="0" borderId="35" xfId="22" applyNumberFormat="1" applyFont="1" applyBorder="1" applyAlignment="1">
      <alignment horizontal="right" vertical="center"/>
    </xf>
    <xf numFmtId="2" fontId="14" fillId="0" borderId="37" xfId="22" applyNumberFormat="1" applyFont="1" applyBorder="1" applyAlignment="1">
      <alignment horizontal="right" vertical="center"/>
    </xf>
    <xf numFmtId="166" fontId="13" fillId="0" borderId="35" xfId="22" applyNumberFormat="1" applyFont="1" applyBorder="1" applyAlignment="1">
      <alignment horizontal="right" vertical="center"/>
    </xf>
    <xf numFmtId="165" fontId="13" fillId="0" borderId="0" xfId="23" applyFont="1"/>
    <xf numFmtId="165" fontId="13" fillId="0" borderId="0" xfId="23" applyFont="1" applyAlignment="1">
      <alignment vertical="center"/>
    </xf>
    <xf numFmtId="165" fontId="13" fillId="0" borderId="0" xfId="23" applyFont="1" applyAlignment="1">
      <alignment horizontal="center" vertical="center"/>
    </xf>
    <xf numFmtId="165" fontId="13" fillId="0" borderId="109" xfId="22" applyFont="1" applyBorder="1" applyAlignment="1">
      <alignment horizontal="left" vertical="center"/>
    </xf>
    <xf numFmtId="166" fontId="13" fillId="0" borderId="28" xfId="23" applyNumberFormat="1" applyFont="1" applyBorder="1" applyAlignment="1">
      <alignment horizontal="right" vertical="center"/>
    </xf>
    <xf numFmtId="2" fontId="13" fillId="0" borderId="28" xfId="23" applyNumberFormat="1" applyFont="1" applyBorder="1" applyAlignment="1">
      <alignment horizontal="right" vertical="center"/>
    </xf>
    <xf numFmtId="165" fontId="13" fillId="0" borderId="0" xfId="23" applyFont="1" applyAlignment="1">
      <alignment horizontal="right" vertical="center"/>
    </xf>
    <xf numFmtId="165" fontId="13" fillId="0" borderId="96" xfId="22" applyFont="1" applyBorder="1" applyAlignment="1">
      <alignment horizontal="left" vertical="center"/>
    </xf>
    <xf numFmtId="166" fontId="13" fillId="0" borderId="34" xfId="23" applyNumberFormat="1" applyFont="1" applyBorder="1" applyAlignment="1">
      <alignment horizontal="right" vertical="center"/>
    </xf>
    <xf numFmtId="2" fontId="13" fillId="0" borderId="34" xfId="23" applyNumberFormat="1" applyFont="1" applyBorder="1" applyAlignment="1">
      <alignment horizontal="right" vertical="center"/>
    </xf>
    <xf numFmtId="165" fontId="13" fillId="0" borderId="96" xfId="22" applyFont="1" applyBorder="1" applyAlignment="1">
      <alignment horizontal="left" vertical="center" wrapText="1"/>
    </xf>
    <xf numFmtId="165" fontId="13" fillId="0" borderId="101" xfId="22" applyFont="1" applyBorder="1" applyAlignment="1">
      <alignment horizontal="left" vertical="center"/>
    </xf>
    <xf numFmtId="166" fontId="13" fillId="0" borderId="78" xfId="23" applyNumberFormat="1" applyFont="1" applyBorder="1" applyAlignment="1">
      <alignment horizontal="right" vertical="center"/>
    </xf>
    <xf numFmtId="2" fontId="13" fillId="0" borderId="78" xfId="23" applyNumberFormat="1" applyFont="1" applyBorder="1" applyAlignment="1">
      <alignment horizontal="right" vertical="center"/>
    </xf>
    <xf numFmtId="165" fontId="14" fillId="0" borderId="0" xfId="23" applyFont="1" applyAlignment="1">
      <alignment horizontal="right" vertical="center"/>
    </xf>
    <xf numFmtId="166" fontId="13" fillId="0" borderId="28" xfId="22" applyNumberFormat="1" applyFont="1" applyBorder="1" applyAlignment="1">
      <alignment horizontal="right" vertical="center"/>
    </xf>
    <xf numFmtId="166" fontId="13" fillId="0" borderId="87" xfId="22" applyNumberFormat="1" applyFont="1" applyBorder="1" applyAlignment="1">
      <alignment horizontal="right" vertical="center"/>
    </xf>
    <xf numFmtId="166" fontId="13" fillId="0" borderId="87" xfId="23" applyNumberFormat="1" applyFont="1" applyBorder="1" applyAlignment="1">
      <alignment horizontal="right" vertical="center"/>
    </xf>
    <xf numFmtId="2" fontId="13" fillId="0" borderId="87" xfId="23" applyNumberFormat="1" applyFont="1" applyBorder="1" applyAlignment="1">
      <alignment horizontal="right" vertical="center"/>
    </xf>
    <xf numFmtId="165" fontId="13" fillId="0" borderId="51" xfId="23" applyFont="1" applyBorder="1" applyAlignment="1">
      <alignment horizontal="left"/>
    </xf>
    <xf numFmtId="16" fontId="13" fillId="0" borderId="96" xfId="0" applyNumberFormat="1" applyFont="1" applyBorder="1" applyAlignment="1">
      <alignment horizontal="left" vertical="center"/>
    </xf>
    <xf numFmtId="2" fontId="13" fillId="0" borderId="35" xfId="0" applyNumberFormat="1" applyFont="1" applyBorder="1" applyAlignment="1">
      <alignment vertical="center"/>
    </xf>
    <xf numFmtId="165" fontId="13" fillId="0" borderId="0" xfId="24" applyFont="1" applyAlignment="1">
      <alignment horizontal="center" vertical="center"/>
    </xf>
    <xf numFmtId="165" fontId="13" fillId="0" borderId="0" xfId="24" applyFont="1" applyAlignment="1">
      <alignment horizontal="right" vertical="center"/>
    </xf>
    <xf numFmtId="165" fontId="13" fillId="0" borderId="109" xfId="24" applyFont="1" applyBorder="1" applyAlignment="1">
      <alignment horizontal="left" vertical="center"/>
    </xf>
    <xf numFmtId="165" fontId="13" fillId="0" borderId="28" xfId="24" applyFont="1" applyBorder="1" applyAlignment="1">
      <alignment horizontal="center" vertical="center"/>
    </xf>
    <xf numFmtId="2" fontId="13" fillId="0" borderId="31" xfId="0" applyNumberFormat="1" applyFont="1" applyBorder="1" applyAlignment="1">
      <alignment vertical="center"/>
    </xf>
    <xf numFmtId="165" fontId="13" fillId="0" borderId="96" xfId="24" applyFont="1" applyBorder="1" applyAlignment="1">
      <alignment horizontal="left" vertical="center"/>
    </xf>
    <xf numFmtId="165" fontId="13" fillId="0" borderId="34" xfId="24" applyFont="1" applyBorder="1" applyAlignment="1">
      <alignment horizontal="center" vertical="center"/>
    </xf>
    <xf numFmtId="165" fontId="14" fillId="0" borderId="0" xfId="24" applyFont="1" applyAlignment="1">
      <alignment horizontal="center" vertical="center"/>
    </xf>
    <xf numFmtId="165" fontId="13" fillId="0" borderId="109" xfId="25" applyFont="1" applyBorder="1" applyAlignment="1">
      <alignment horizontal="left" vertical="center"/>
    </xf>
    <xf numFmtId="165" fontId="13" fillId="0" borderId="28" xfId="25" applyFont="1" applyBorder="1" applyAlignment="1">
      <alignment horizontal="center" vertical="center"/>
    </xf>
    <xf numFmtId="166" fontId="13" fillId="0" borderId="29" xfId="0" applyNumberFormat="1" applyFont="1" applyBorder="1" applyAlignment="1">
      <alignment vertical="center"/>
    </xf>
    <xf numFmtId="165" fontId="13" fillId="0" borderId="96" xfId="25" applyFont="1" applyBorder="1" applyAlignment="1">
      <alignment horizontal="left" vertical="center"/>
    </xf>
    <xf numFmtId="165" fontId="13" fillId="0" borderId="34" xfId="25" applyFont="1" applyBorder="1" applyAlignment="1">
      <alignment horizontal="center" vertical="center"/>
    </xf>
    <xf numFmtId="165" fontId="13" fillId="0" borderId="0" xfId="24" applyFont="1" applyAlignment="1">
      <alignment horizontal="center"/>
    </xf>
    <xf numFmtId="165" fontId="13" fillId="0" borderId="0" xfId="25" applyFont="1" applyAlignment="1">
      <alignment horizontal="center"/>
    </xf>
    <xf numFmtId="165" fontId="13" fillId="0" borderId="0" xfId="25" applyFont="1" applyAlignment="1">
      <alignment horizontal="center" vertical="center"/>
    </xf>
    <xf numFmtId="165" fontId="13" fillId="0" borderId="0" xfId="25" applyFont="1" applyAlignment="1">
      <alignment horizontal="right" vertical="center"/>
    </xf>
    <xf numFmtId="165" fontId="13" fillId="0" borderId="96" xfId="25" applyFont="1" applyBorder="1" applyAlignment="1">
      <alignment vertical="center"/>
    </xf>
    <xf numFmtId="166" fontId="13" fillId="0" borderId="35" xfId="25" applyNumberFormat="1" applyFont="1" applyBorder="1" applyAlignment="1">
      <alignment horizontal="right" vertical="center"/>
    </xf>
    <xf numFmtId="166" fontId="13" fillId="0" borderId="36" xfId="25" applyNumberFormat="1" applyFont="1" applyBorder="1" applyAlignment="1">
      <alignment horizontal="right" vertical="center"/>
    </xf>
    <xf numFmtId="166" fontId="14" fillId="0" borderId="37" xfId="25" applyNumberFormat="1" applyFont="1" applyBorder="1" applyAlignment="1">
      <alignment horizontal="right" vertical="center"/>
    </xf>
    <xf numFmtId="165" fontId="13" fillId="0" borderId="101" xfId="25" applyFont="1" applyBorder="1" applyAlignment="1">
      <alignment vertical="center"/>
    </xf>
    <xf numFmtId="166" fontId="13" fillId="0" borderId="79" xfId="25" applyNumberFormat="1" applyFont="1" applyBorder="1" applyAlignment="1">
      <alignment horizontal="right" vertical="center"/>
    </xf>
    <xf numFmtId="166" fontId="13" fillId="0" borderId="63" xfId="25" applyNumberFormat="1" applyFont="1" applyBorder="1" applyAlignment="1">
      <alignment horizontal="right" vertical="center"/>
    </xf>
    <xf numFmtId="166" fontId="14" fillId="0" borderId="76" xfId="25" applyNumberFormat="1" applyFont="1" applyBorder="1" applyAlignment="1">
      <alignment horizontal="right" vertical="center"/>
    </xf>
    <xf numFmtId="166" fontId="14" fillId="0" borderId="35" xfId="0" applyNumberFormat="1" applyFont="1" applyBorder="1" applyAlignment="1">
      <alignment horizontal="right" vertical="center"/>
    </xf>
    <xf numFmtId="166" fontId="14" fillId="0" borderId="66" xfId="0" applyNumberFormat="1" applyFont="1" applyBorder="1" applyAlignment="1">
      <alignment vertical="center"/>
    </xf>
    <xf numFmtId="166" fontId="14" fillId="0" borderId="57" xfId="0" applyNumberFormat="1" applyFont="1" applyBorder="1" applyAlignment="1">
      <alignment vertical="center"/>
    </xf>
    <xf numFmtId="166" fontId="13" fillId="0" borderId="49" xfId="0" applyNumberFormat="1" applyFont="1" applyBorder="1" applyAlignment="1">
      <alignment horizontal="right" vertical="center"/>
    </xf>
    <xf numFmtId="166" fontId="14" fillId="2" borderId="2" xfId="0" applyNumberFormat="1" applyFont="1" applyFill="1" applyBorder="1" applyAlignment="1">
      <alignment horizontal="right" vertical="center"/>
    </xf>
    <xf numFmtId="166" fontId="14" fillId="2" borderId="93" xfId="0" applyNumberFormat="1" applyFont="1" applyFill="1" applyBorder="1" applyAlignment="1">
      <alignment horizontal="right" vertical="center"/>
    </xf>
    <xf numFmtId="166" fontId="13" fillId="0" borderId="32" xfId="0" applyNumberFormat="1" applyFont="1" applyBorder="1" applyAlignment="1">
      <alignment horizontal="right" vertical="center"/>
    </xf>
    <xf numFmtId="166" fontId="13" fillId="0" borderId="30" xfId="0" applyNumberFormat="1" applyFont="1" applyBorder="1" applyAlignment="1">
      <alignment horizontal="right" vertical="center"/>
    </xf>
    <xf numFmtId="166" fontId="13" fillId="0" borderId="112" xfId="0" applyNumberFormat="1" applyFont="1" applyBorder="1" applyAlignment="1">
      <alignment horizontal="right" vertical="center"/>
    </xf>
    <xf numFmtId="166" fontId="13" fillId="0" borderId="61" xfId="0" applyNumberFormat="1" applyFont="1" applyBorder="1" applyAlignment="1">
      <alignment horizontal="right" vertical="center"/>
    </xf>
    <xf numFmtId="166" fontId="13" fillId="0" borderId="68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14" fillId="9" borderId="3" xfId="0" quotePrefix="1" applyFont="1" applyFill="1" applyBorder="1" applyAlignment="1">
      <alignment horizontal="center" vertical="center"/>
    </xf>
    <xf numFmtId="0" fontId="14" fillId="9" borderId="57" xfId="0" quotePrefix="1" applyFont="1" applyFill="1" applyBorder="1" applyAlignment="1">
      <alignment horizontal="center" vertical="center"/>
    </xf>
    <xf numFmtId="166" fontId="14" fillId="9" borderId="3" xfId="0" applyNumberFormat="1" applyFont="1" applyFill="1" applyBorder="1" applyAlignment="1">
      <alignment horizontal="right" vertical="center"/>
    </xf>
    <xf numFmtId="166" fontId="14" fillId="9" borderId="23" xfId="0" applyNumberFormat="1" applyFont="1" applyFill="1" applyBorder="1" applyAlignment="1">
      <alignment horizontal="right" vertical="center"/>
    </xf>
    <xf numFmtId="2" fontId="14" fillId="9" borderId="23" xfId="0" applyNumberFormat="1" applyFont="1" applyFill="1" applyBorder="1" applyAlignment="1">
      <alignment vertical="center"/>
    </xf>
    <xf numFmtId="166" fontId="14" fillId="9" borderId="16" xfId="0" applyNumberFormat="1" applyFont="1" applyFill="1" applyBorder="1" applyAlignment="1">
      <alignment horizontal="right" vertical="center"/>
    </xf>
    <xf numFmtId="2" fontId="14" fillId="9" borderId="102" xfId="0" applyNumberFormat="1" applyFont="1" applyFill="1" applyBorder="1" applyAlignment="1">
      <alignment vertical="center"/>
    </xf>
    <xf numFmtId="0" fontId="14" fillId="9" borderId="3" xfId="0" applyFont="1" applyFill="1" applyBorder="1" applyAlignment="1">
      <alignment horizontal="center" vertical="center"/>
    </xf>
    <xf numFmtId="2" fontId="13" fillId="9" borderId="3" xfId="0" applyNumberFormat="1" applyFont="1" applyFill="1" applyBorder="1" applyAlignment="1">
      <alignment horizontal="right" vertical="center"/>
    </xf>
    <xf numFmtId="2" fontId="14" fillId="9" borderId="3" xfId="0" applyNumberFormat="1" applyFont="1" applyFill="1" applyBorder="1" applyAlignment="1">
      <alignment horizontal="right" vertical="center"/>
    </xf>
    <xf numFmtId="2" fontId="14" fillId="9" borderId="23" xfId="0" applyNumberFormat="1" applyFont="1" applyFill="1" applyBorder="1" applyAlignment="1">
      <alignment horizontal="right" vertical="center"/>
    </xf>
    <xf numFmtId="0" fontId="14" fillId="9" borderId="2" xfId="0" quotePrefix="1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2" fontId="14" fillId="9" borderId="57" xfId="0" applyNumberFormat="1" applyFont="1" applyFill="1" applyBorder="1" applyAlignment="1">
      <alignment horizontal="right" vertical="center"/>
    </xf>
    <xf numFmtId="2" fontId="14" fillId="9" borderId="102" xfId="0" applyNumberFormat="1" applyFont="1" applyFill="1" applyBorder="1" applyAlignment="1">
      <alignment horizontal="right" vertical="center"/>
    </xf>
    <xf numFmtId="0" fontId="14" fillId="9" borderId="11" xfId="0" applyFont="1" applyFill="1" applyBorder="1" applyAlignment="1">
      <alignment horizontal="center" vertical="center"/>
    </xf>
    <xf numFmtId="166" fontId="14" fillId="9" borderId="11" xfId="0" applyNumberFormat="1" applyFont="1" applyFill="1" applyBorder="1" applyAlignment="1">
      <alignment horizontal="right" vertical="center"/>
    </xf>
    <xf numFmtId="0" fontId="14" fillId="9" borderId="3" xfId="0" applyFont="1" applyFill="1" applyBorder="1" applyAlignment="1">
      <alignment vertical="center"/>
    </xf>
    <xf numFmtId="166" fontId="14" fillId="9" borderId="57" xfId="0" applyNumberFormat="1" applyFont="1" applyFill="1" applyBorder="1" applyAlignment="1">
      <alignment horizontal="right" vertical="center"/>
    </xf>
    <xf numFmtId="166" fontId="14" fillId="9" borderId="102" xfId="0" applyNumberFormat="1" applyFont="1" applyFill="1" applyBorder="1" applyAlignment="1">
      <alignment horizontal="right" vertical="center"/>
    </xf>
    <xf numFmtId="0" fontId="14" fillId="9" borderId="11" xfId="0" quotePrefix="1" applyFont="1" applyFill="1" applyBorder="1" applyAlignment="1">
      <alignment horizontal="center" vertical="center"/>
    </xf>
    <xf numFmtId="0" fontId="30" fillId="8" borderId="90" xfId="0" applyFont="1" applyFill="1" applyBorder="1" applyAlignment="1">
      <alignment horizontal="left" vertical="center"/>
    </xf>
    <xf numFmtId="0" fontId="30" fillId="8" borderId="3" xfId="0" applyFont="1" applyFill="1" applyBorder="1" applyAlignment="1">
      <alignment horizontal="left" vertical="center"/>
    </xf>
    <xf numFmtId="166" fontId="30" fillId="8" borderId="11" xfId="0" applyNumberFormat="1" applyFont="1" applyFill="1" applyBorder="1" applyAlignment="1">
      <alignment horizontal="right" vertical="center" wrapText="1"/>
    </xf>
    <xf numFmtId="166" fontId="30" fillId="8" borderId="3" xfId="0" applyNumberFormat="1" applyFont="1" applyFill="1" applyBorder="1" applyAlignment="1">
      <alignment horizontal="right" vertical="center" wrapText="1"/>
    </xf>
    <xf numFmtId="166" fontId="30" fillId="8" borderId="57" xfId="0" applyNumberFormat="1" applyFont="1" applyFill="1" applyBorder="1" applyAlignment="1">
      <alignment horizontal="right" vertical="center" wrapText="1"/>
    </xf>
    <xf numFmtId="0" fontId="14" fillId="9" borderId="64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166" fontId="14" fillId="9" borderId="11" xfId="0" applyNumberFormat="1" applyFont="1" applyFill="1" applyBorder="1" applyAlignment="1">
      <alignment horizontal="right" vertical="center" wrapText="1"/>
    </xf>
    <xf numFmtId="166" fontId="14" fillId="9" borderId="3" xfId="0" applyNumberFormat="1" applyFont="1" applyFill="1" applyBorder="1" applyAlignment="1">
      <alignment horizontal="right" vertical="center" wrapText="1"/>
    </xf>
    <xf numFmtId="166" fontId="14" fillId="9" borderId="1" xfId="0" applyNumberFormat="1" applyFont="1" applyFill="1" applyBorder="1" applyAlignment="1">
      <alignment horizontal="right" vertical="center" wrapText="1"/>
    </xf>
    <xf numFmtId="166" fontId="14" fillId="9" borderId="1" xfId="0" quotePrefix="1" applyNumberFormat="1" applyFont="1" applyFill="1" applyBorder="1" applyAlignment="1">
      <alignment horizontal="right" vertical="center" wrapText="1"/>
    </xf>
    <xf numFmtId="166" fontId="14" fillId="9" borderId="57" xfId="0" quotePrefix="1" applyNumberFormat="1" applyFont="1" applyFill="1" applyBorder="1" applyAlignment="1">
      <alignment horizontal="right" vertical="center" wrapText="1"/>
    </xf>
    <xf numFmtId="0" fontId="14" fillId="9" borderId="64" xfId="0" applyFont="1" applyFill="1" applyBorder="1" applyAlignment="1">
      <alignment horizontal="center" vertical="center"/>
    </xf>
    <xf numFmtId="0" fontId="14" fillId="9" borderId="104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vertical="center"/>
    </xf>
    <xf numFmtId="166" fontId="13" fillId="0" borderId="37" xfId="0" applyNumberFormat="1" applyFont="1" applyBorder="1" applyAlignment="1">
      <alignment vertical="center"/>
    </xf>
    <xf numFmtId="166" fontId="13" fillId="0" borderId="126" xfId="22" applyNumberFormat="1" applyFont="1" applyBorder="1" applyAlignment="1">
      <alignment horizontal="right" vertical="center"/>
    </xf>
    <xf numFmtId="166" fontId="13" fillId="0" borderId="85" xfId="22" applyNumberFormat="1" applyFont="1" applyBorder="1" applyAlignment="1">
      <alignment horizontal="right" vertical="center"/>
    </xf>
    <xf numFmtId="166" fontId="13" fillId="0" borderId="127" xfId="22" applyNumberFormat="1" applyFont="1" applyBorder="1" applyAlignment="1">
      <alignment horizontal="right" vertical="center"/>
    </xf>
    <xf numFmtId="171" fontId="14" fillId="0" borderId="37" xfId="0" applyNumberFormat="1" applyFont="1" applyBorder="1" applyAlignment="1">
      <alignment vertical="center"/>
    </xf>
    <xf numFmtId="171" fontId="14" fillId="0" borderId="61" xfId="0" applyNumberFormat="1" applyFont="1" applyBorder="1" applyAlignment="1">
      <alignment vertical="center"/>
    </xf>
    <xf numFmtId="171" fontId="13" fillId="0" borderId="43" xfId="0" applyNumberFormat="1" applyFont="1" applyBorder="1" applyAlignment="1">
      <alignment vertical="center"/>
    </xf>
    <xf numFmtId="171" fontId="13" fillId="0" borderId="36" xfId="0" applyNumberFormat="1" applyFont="1" applyBorder="1" applyAlignment="1">
      <alignment vertical="center"/>
    </xf>
    <xf numFmtId="171" fontId="13" fillId="0" borderId="42" xfId="0" applyNumberFormat="1" applyFont="1" applyBorder="1" applyAlignment="1">
      <alignment vertical="center"/>
    </xf>
    <xf numFmtId="166" fontId="13" fillId="0" borderId="121" xfId="0" applyNumberFormat="1" applyFont="1" applyBorder="1" applyAlignment="1">
      <alignment horizontal="right" vertical="center"/>
    </xf>
    <xf numFmtId="166" fontId="14" fillId="9" borderId="16" xfId="0" applyNumberFormat="1" applyFont="1" applyFill="1" applyBorder="1" applyAlignment="1">
      <alignment vertical="center"/>
    </xf>
    <xf numFmtId="17" fontId="13" fillId="0" borderId="95" xfId="0" applyNumberFormat="1" applyFont="1" applyBorder="1" applyAlignment="1">
      <alignment horizontal="left" vertical="center"/>
    </xf>
    <xf numFmtId="171" fontId="13" fillId="0" borderId="34" xfId="20" applyNumberFormat="1" applyFont="1" applyBorder="1" applyAlignment="1">
      <alignment vertical="center"/>
    </xf>
    <xf numFmtId="165" fontId="13" fillId="0" borderId="116" xfId="20" applyFont="1" applyBorder="1" applyAlignment="1">
      <alignment vertical="center"/>
    </xf>
    <xf numFmtId="166" fontId="13" fillId="0" borderId="85" xfId="20" applyNumberFormat="1" applyFont="1" applyBorder="1" applyAlignment="1">
      <alignment vertical="center"/>
    </xf>
    <xf numFmtId="166" fontId="13" fillId="0" borderId="59" xfId="20" applyNumberFormat="1" applyFont="1" applyBorder="1" applyAlignment="1">
      <alignment vertical="center"/>
    </xf>
    <xf numFmtId="166" fontId="13" fillId="0" borderId="86" xfId="20" applyNumberFormat="1" applyFont="1" applyBorder="1" applyAlignment="1">
      <alignment vertical="center"/>
    </xf>
    <xf numFmtId="2" fontId="13" fillId="0" borderId="87" xfId="20" applyNumberFormat="1" applyFont="1" applyBorder="1" applyAlignment="1">
      <alignment vertical="center"/>
    </xf>
    <xf numFmtId="171" fontId="13" fillId="0" borderId="87" xfId="20" applyNumberFormat="1" applyFont="1" applyBorder="1" applyAlignment="1">
      <alignment vertical="center"/>
    </xf>
    <xf numFmtId="166" fontId="14" fillId="0" borderId="87" xfId="20" applyNumberFormat="1" applyFont="1" applyBorder="1" applyAlignment="1">
      <alignment horizontal="right" vertical="center"/>
    </xf>
    <xf numFmtId="171" fontId="13" fillId="0" borderId="31" xfId="21" applyNumberFormat="1" applyFont="1" applyBorder="1" applyAlignment="1">
      <alignment vertical="center"/>
    </xf>
    <xf numFmtId="171" fontId="13" fillId="0" borderId="43" xfId="21" applyNumberFormat="1" applyFont="1" applyBorder="1" applyAlignment="1">
      <alignment vertical="center"/>
    </xf>
    <xf numFmtId="171" fontId="13" fillId="0" borderId="132" xfId="21" applyNumberFormat="1" applyFont="1" applyBorder="1" applyAlignment="1">
      <alignment vertical="center"/>
    </xf>
    <xf numFmtId="171" fontId="13" fillId="0" borderId="130" xfId="21" applyNumberFormat="1" applyFont="1" applyBorder="1" applyAlignment="1">
      <alignment vertical="center"/>
    </xf>
    <xf numFmtId="171" fontId="13" fillId="0" borderId="86" xfId="21" applyNumberFormat="1" applyFont="1" applyBorder="1" applyAlignment="1">
      <alignment vertical="center"/>
    </xf>
    <xf numFmtId="171" fontId="13" fillId="0" borderId="37" xfId="21" applyNumberFormat="1" applyFont="1" applyBorder="1" applyAlignment="1">
      <alignment vertical="center"/>
    </xf>
    <xf numFmtId="0" fontId="30" fillId="8" borderId="57" xfId="0" applyFont="1" applyFill="1" applyBorder="1" applyAlignment="1">
      <alignment horizontal="center" vertical="center" wrapText="1"/>
    </xf>
    <xf numFmtId="165" fontId="14" fillId="0" borderId="0" xfId="25" applyFont="1" applyAlignment="1">
      <alignment horizontal="right" vertical="center"/>
    </xf>
    <xf numFmtId="165" fontId="13" fillId="0" borderId="0" xfId="25" applyFont="1" applyAlignment="1">
      <alignment horizontal="center" wrapText="1"/>
    </xf>
    <xf numFmtId="165" fontId="13" fillId="0" borderId="0" xfId="21" applyFont="1" applyAlignment="1">
      <alignment vertical="center" wrapText="1"/>
    </xf>
    <xf numFmtId="0" fontId="15" fillId="0" borderId="49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49" fontId="30" fillId="8" borderId="11" xfId="0" applyNumberFormat="1" applyFont="1" applyFill="1" applyBorder="1" applyAlignment="1">
      <alignment horizontal="center" vertical="center" wrapText="1"/>
    </xf>
    <xf numFmtId="170" fontId="13" fillId="0" borderId="65" xfId="0" applyNumberFormat="1" applyFont="1" applyBorder="1" applyAlignment="1">
      <alignment vertical="center"/>
    </xf>
    <xf numFmtId="171" fontId="13" fillId="0" borderId="91" xfId="20" applyNumberFormat="1" applyFont="1" applyBorder="1" applyAlignment="1">
      <alignment vertical="center"/>
    </xf>
    <xf numFmtId="171" fontId="13" fillId="0" borderId="117" xfId="20" applyNumberFormat="1" applyFont="1" applyBorder="1" applyAlignment="1">
      <alignment vertical="center"/>
    </xf>
    <xf numFmtId="171" fontId="14" fillId="0" borderId="30" xfId="0" applyNumberFormat="1" applyFont="1" applyBorder="1" applyAlignment="1">
      <alignment vertical="center"/>
    </xf>
    <xf numFmtId="171" fontId="13" fillId="0" borderId="59" xfId="0" applyNumberFormat="1" applyFont="1" applyBorder="1" applyAlignment="1">
      <alignment vertical="center"/>
    </xf>
    <xf numFmtId="0" fontId="13" fillId="0" borderId="60" xfId="0" applyFont="1" applyBorder="1" applyAlignment="1">
      <alignment horizontal="left" vertical="center"/>
    </xf>
    <xf numFmtId="171" fontId="13" fillId="0" borderId="37" xfId="0" applyNumberFormat="1" applyFont="1" applyBorder="1" applyAlignment="1">
      <alignment horizontal="right" vertical="center"/>
    </xf>
    <xf numFmtId="171" fontId="13" fillId="0" borderId="33" xfId="0" applyNumberFormat="1" applyFont="1" applyBorder="1" applyAlignment="1">
      <alignment horizontal="right" vertical="center"/>
    </xf>
    <xf numFmtId="166" fontId="14" fillId="0" borderId="41" xfId="0" applyNumberFormat="1" applyFont="1" applyBorder="1" applyAlignment="1">
      <alignment horizontal="right" vertical="center"/>
    </xf>
    <xf numFmtId="2" fontId="14" fillId="0" borderId="0" xfId="0" applyNumberFormat="1" applyFont="1"/>
    <xf numFmtId="0" fontId="13" fillId="0" borderId="0" xfId="14" applyFont="1"/>
    <xf numFmtId="0" fontId="13" fillId="0" borderId="0" xfId="14" applyFont="1" applyAlignment="1">
      <alignment vertical="center"/>
    </xf>
    <xf numFmtId="0" fontId="13" fillId="0" borderId="0" xfId="14" applyFont="1" applyAlignment="1">
      <alignment horizontal="right" vertical="center"/>
    </xf>
    <xf numFmtId="0" fontId="13" fillId="0" borderId="51" xfId="14" applyFont="1" applyBorder="1" applyAlignment="1">
      <alignment vertical="center"/>
    </xf>
    <xf numFmtId="166" fontId="13" fillId="0" borderId="0" xfId="14" applyNumberFormat="1" applyFont="1" applyAlignment="1">
      <alignment vertical="center"/>
    </xf>
    <xf numFmtId="2" fontId="14" fillId="0" borderId="0" xfId="14" applyNumberFormat="1" applyFont="1" applyAlignment="1">
      <alignment vertical="center"/>
    </xf>
    <xf numFmtId="0" fontId="13" fillId="0" borderId="96" xfId="14" applyFont="1" applyBorder="1" applyAlignment="1">
      <alignment vertical="center"/>
    </xf>
    <xf numFmtId="0" fontId="13" fillId="0" borderId="35" xfId="14" applyFont="1" applyBorder="1" applyAlignment="1">
      <alignment vertical="center"/>
    </xf>
    <xf numFmtId="2" fontId="13" fillId="0" borderId="36" xfId="14" applyNumberFormat="1" applyFont="1" applyBorder="1" applyAlignment="1">
      <alignment vertical="center"/>
    </xf>
    <xf numFmtId="171" fontId="13" fillId="0" borderId="37" xfId="14" applyNumberFormat="1" applyFont="1" applyBorder="1" applyAlignment="1">
      <alignment vertical="center"/>
    </xf>
    <xf numFmtId="171" fontId="13" fillId="0" borderId="61" xfId="14" applyNumberFormat="1" applyFont="1" applyBorder="1" applyAlignment="1">
      <alignment vertical="center"/>
    </xf>
    <xf numFmtId="166" fontId="13" fillId="0" borderId="35" xfId="14" applyNumberFormat="1" applyFont="1" applyBorder="1" applyAlignment="1">
      <alignment vertical="center"/>
    </xf>
    <xf numFmtId="0" fontId="13" fillId="0" borderId="116" xfId="14" applyFont="1" applyBorder="1" applyAlignment="1">
      <alignment vertical="center"/>
    </xf>
    <xf numFmtId="166" fontId="13" fillId="0" borderId="5" xfId="14" applyNumberFormat="1" applyFont="1" applyBorder="1" applyAlignment="1">
      <alignment vertical="center"/>
    </xf>
    <xf numFmtId="0" fontId="13" fillId="0" borderId="5" xfId="14" applyFont="1" applyBorder="1" applyAlignment="1">
      <alignment vertical="center"/>
    </xf>
    <xf numFmtId="0" fontId="13" fillId="0" borderId="49" xfId="14" applyFont="1" applyBorder="1" applyAlignment="1">
      <alignment vertical="center"/>
    </xf>
    <xf numFmtId="0" fontId="14" fillId="0" borderId="51" xfId="14" applyFont="1" applyBorder="1" applyAlignment="1">
      <alignment vertical="center"/>
    </xf>
    <xf numFmtId="166" fontId="14" fillId="0" borderId="5" xfId="14" applyNumberFormat="1" applyFont="1" applyBorder="1" applyAlignment="1">
      <alignment vertical="center"/>
    </xf>
    <xf numFmtId="2" fontId="14" fillId="0" borderId="5" xfId="14" applyNumberFormat="1" applyFont="1" applyBorder="1" applyAlignment="1">
      <alignment vertical="center"/>
    </xf>
    <xf numFmtId="166" fontId="14" fillId="0" borderId="0" xfId="14" applyNumberFormat="1" applyFont="1" applyAlignment="1">
      <alignment vertical="center"/>
    </xf>
    <xf numFmtId="2" fontId="14" fillId="0" borderId="49" xfId="14" applyNumberFormat="1" applyFont="1" applyBorder="1" applyAlignment="1">
      <alignment vertical="center"/>
    </xf>
    <xf numFmtId="0" fontId="13" fillId="0" borderId="137" xfId="14" applyFont="1" applyBorder="1" applyAlignment="1">
      <alignment vertical="center"/>
    </xf>
    <xf numFmtId="171" fontId="13" fillId="0" borderId="119" xfId="14" applyNumberFormat="1" applyFont="1" applyBorder="1" applyAlignment="1">
      <alignment vertical="center"/>
    </xf>
    <xf numFmtId="0" fontId="13" fillId="0" borderId="138" xfId="14" applyFont="1" applyBorder="1" applyAlignment="1">
      <alignment vertical="center"/>
    </xf>
    <xf numFmtId="0" fontId="13" fillId="0" borderId="140" xfId="14" applyFont="1" applyBorder="1" applyAlignment="1">
      <alignment vertical="center"/>
    </xf>
    <xf numFmtId="166" fontId="13" fillId="0" borderId="53" xfId="14" applyNumberFormat="1" applyFont="1" applyBorder="1" applyAlignment="1">
      <alignment vertical="center"/>
    </xf>
    <xf numFmtId="0" fontId="13" fillId="0" borderId="53" xfId="14" applyFont="1" applyBorder="1" applyAlignment="1">
      <alignment vertical="center"/>
    </xf>
    <xf numFmtId="166" fontId="13" fillId="0" borderId="50" xfId="14" applyNumberFormat="1" applyFont="1" applyBorder="1" applyAlignment="1">
      <alignment vertical="center"/>
    </xf>
    <xf numFmtId="0" fontId="13" fillId="0" borderId="50" xfId="14" applyFont="1" applyBorder="1" applyAlignment="1">
      <alignment vertical="center"/>
    </xf>
    <xf numFmtId="0" fontId="14" fillId="0" borderId="94" xfId="14" applyFont="1" applyBorder="1" applyAlignment="1">
      <alignment vertical="center"/>
    </xf>
    <xf numFmtId="0" fontId="14" fillId="0" borderId="49" xfId="14" applyFont="1" applyBorder="1" applyAlignment="1">
      <alignment vertical="center"/>
    </xf>
    <xf numFmtId="0" fontId="13" fillId="0" borderId="0" xfId="14" applyFont="1" applyAlignment="1">
      <alignment horizontal="center" vertical="center"/>
    </xf>
    <xf numFmtId="171" fontId="13" fillId="0" borderId="0" xfId="14" applyNumberFormat="1" applyFont="1" applyAlignment="1">
      <alignment vertical="center"/>
    </xf>
    <xf numFmtId="166" fontId="13" fillId="0" borderId="0" xfId="14" applyNumberFormat="1" applyFont="1"/>
    <xf numFmtId="0" fontId="13" fillId="0" borderId="67" xfId="8" applyFont="1" applyBorder="1" applyAlignment="1">
      <alignment vertical="center"/>
    </xf>
    <xf numFmtId="166" fontId="13" fillId="0" borderId="5" xfId="8" applyNumberFormat="1" applyFont="1" applyBorder="1" applyAlignment="1">
      <alignment vertical="center"/>
    </xf>
    <xf numFmtId="0" fontId="13" fillId="0" borderId="5" xfId="8" applyFont="1" applyBorder="1" applyAlignment="1">
      <alignment vertical="center"/>
    </xf>
    <xf numFmtId="0" fontId="19" fillId="0" borderId="0" xfId="16" applyFont="1" applyAlignment="1">
      <alignment vertical="center"/>
    </xf>
    <xf numFmtId="1" fontId="19" fillId="0" borderId="51" xfId="32" applyNumberFormat="1" applyFont="1" applyBorder="1" applyAlignment="1">
      <alignment vertical="center"/>
    </xf>
    <xf numFmtId="1" fontId="19" fillId="0" borderId="0" xfId="32" applyNumberFormat="1" applyFont="1" applyAlignment="1">
      <alignment vertical="center"/>
    </xf>
    <xf numFmtId="0" fontId="17" fillId="0" borderId="49" xfId="16" applyFont="1" applyBorder="1" applyAlignment="1">
      <alignment horizontal="right" vertical="center"/>
    </xf>
    <xf numFmtId="172" fontId="19" fillId="0" borderId="70" xfId="32" applyNumberFormat="1" applyFont="1" applyBorder="1" applyAlignment="1">
      <alignment horizontal="left" vertical="center"/>
    </xf>
    <xf numFmtId="172" fontId="19" fillId="0" borderId="137" xfId="32" applyNumberFormat="1" applyFont="1" applyBorder="1" applyAlignment="1">
      <alignment horizontal="left" vertical="center"/>
    </xf>
    <xf numFmtId="172" fontId="19" fillId="0" borderId="138" xfId="32" applyNumberFormat="1" applyFont="1" applyBorder="1" applyAlignment="1">
      <alignment horizontal="left" vertical="center"/>
    </xf>
    <xf numFmtId="1" fontId="13" fillId="0" borderId="96" xfId="31" applyNumberFormat="1" applyFont="1" applyBorder="1" applyAlignment="1">
      <alignment horizontal="left" vertical="center" wrapText="1"/>
    </xf>
    <xf numFmtId="49" fontId="13" fillId="0" borderId="17" xfId="8" applyNumberFormat="1" applyFont="1" applyBorder="1" applyAlignment="1">
      <alignment horizontal="left" vertical="center" wrapText="1"/>
    </xf>
    <xf numFmtId="49" fontId="13" fillId="0" borderId="101" xfId="8" applyNumberFormat="1" applyFont="1" applyBorder="1" applyAlignment="1">
      <alignment vertical="center" wrapText="1"/>
    </xf>
    <xf numFmtId="49" fontId="13" fillId="0" borderId="78" xfId="8" applyNumberFormat="1" applyFont="1" applyBorder="1" applyAlignment="1">
      <alignment vertical="center"/>
    </xf>
    <xf numFmtId="49" fontId="13" fillId="0" borderId="18" xfId="8" applyNumberFormat="1" applyFont="1" applyBorder="1" applyAlignment="1">
      <alignment horizontal="left" vertical="center" wrapText="1"/>
    </xf>
    <xf numFmtId="166" fontId="13" fillId="0" borderId="79" xfId="8" applyNumberFormat="1" applyFont="1" applyBorder="1" applyAlignment="1">
      <alignment horizontal="right" vertical="center"/>
    </xf>
    <xf numFmtId="166" fontId="13" fillId="0" borderId="63" xfId="8" applyNumberFormat="1" applyFont="1" applyBorder="1" applyAlignment="1">
      <alignment horizontal="right" vertical="center"/>
    </xf>
    <xf numFmtId="166" fontId="14" fillId="0" borderId="76" xfId="8" applyNumberFormat="1" applyFont="1" applyBorder="1" applyAlignment="1">
      <alignment horizontal="right" vertical="center"/>
    </xf>
    <xf numFmtId="1" fontId="13" fillId="0" borderId="56" xfId="31" applyNumberFormat="1" applyFont="1" applyBorder="1" applyAlignment="1">
      <alignment horizontal="left" vertical="center" wrapText="1"/>
    </xf>
    <xf numFmtId="49" fontId="13" fillId="0" borderId="11" xfId="8" applyNumberFormat="1" applyFont="1" applyBorder="1" applyAlignment="1">
      <alignment vertical="center" wrapText="1"/>
    </xf>
    <xf numFmtId="49" fontId="13" fillId="0" borderId="40" xfId="8" applyNumberFormat="1" applyFont="1" applyBorder="1" applyAlignment="1">
      <alignment vertical="center"/>
    </xf>
    <xf numFmtId="166" fontId="13" fillId="0" borderId="42" xfId="8" applyNumberFormat="1" applyFont="1" applyBorder="1" applyAlignment="1">
      <alignment horizontal="right" vertical="center"/>
    </xf>
    <xf numFmtId="49" fontId="13" fillId="0" borderId="4" xfId="8" applyNumberFormat="1" applyFont="1" applyBorder="1" applyAlignment="1">
      <alignment vertical="center" wrapText="1"/>
    </xf>
    <xf numFmtId="49" fontId="13" fillId="0" borderId="17" xfId="8" applyNumberFormat="1" applyFont="1" applyBorder="1" applyAlignment="1">
      <alignment horizontal="left" vertical="center"/>
    </xf>
    <xf numFmtId="1" fontId="13" fillId="0" borderId="95" xfId="31" applyNumberFormat="1" applyFont="1" applyBorder="1" applyAlignment="1">
      <alignment horizontal="left" vertical="center" wrapText="1"/>
    </xf>
    <xf numFmtId="49" fontId="13" fillId="0" borderId="17" xfId="8" applyNumberFormat="1" applyFont="1" applyBorder="1" applyAlignment="1">
      <alignment vertical="center"/>
    </xf>
    <xf numFmtId="166" fontId="13" fillId="0" borderId="127" xfId="8" applyNumberFormat="1" applyFont="1" applyBorder="1" applyAlignment="1">
      <alignment horizontal="right" vertical="center"/>
    </xf>
    <xf numFmtId="166" fontId="13" fillId="0" borderId="129" xfId="8" applyNumberFormat="1" applyFont="1" applyBorder="1" applyAlignment="1">
      <alignment horizontal="right" vertical="center"/>
    </xf>
    <xf numFmtId="166" fontId="14" fillId="0" borderId="130" xfId="8" applyNumberFormat="1" applyFont="1" applyBorder="1" applyAlignment="1">
      <alignment horizontal="right" vertical="center"/>
    </xf>
    <xf numFmtId="49" fontId="13" fillId="0" borderId="3" xfId="8" applyNumberFormat="1" applyFont="1" applyBorder="1" applyAlignment="1">
      <alignment vertical="center"/>
    </xf>
    <xf numFmtId="49" fontId="13" fillId="0" borderId="3" xfId="8" applyNumberFormat="1" applyFont="1" applyBorder="1" applyAlignment="1">
      <alignment horizontal="left" vertical="center"/>
    </xf>
    <xf numFmtId="166" fontId="13" fillId="0" borderId="25" xfId="8" applyNumberFormat="1" applyFont="1" applyBorder="1" applyAlignment="1">
      <alignment horizontal="right" vertical="center"/>
    </xf>
    <xf numFmtId="166" fontId="13" fillId="0" borderId="24" xfId="8" applyNumberFormat="1" applyFont="1" applyBorder="1" applyAlignment="1">
      <alignment horizontal="right" vertical="center"/>
    </xf>
    <xf numFmtId="166" fontId="14" fillId="0" borderId="26" xfId="8" applyNumberFormat="1" applyFont="1" applyBorder="1" applyAlignment="1">
      <alignment horizontal="right" vertical="center"/>
    </xf>
    <xf numFmtId="1" fontId="13" fillId="0" borderId="116" xfId="31" applyNumberFormat="1" applyFont="1" applyBorder="1" applyAlignment="1">
      <alignment horizontal="left" vertical="center" wrapText="1"/>
    </xf>
    <xf numFmtId="0" fontId="13" fillId="0" borderId="3" xfId="8" applyFont="1" applyBorder="1" applyAlignment="1">
      <alignment vertical="center"/>
    </xf>
    <xf numFmtId="49" fontId="13" fillId="0" borderId="3" xfId="8" applyNumberFormat="1" applyFont="1" applyBorder="1" applyAlignment="1">
      <alignment horizontal="left" vertical="center" wrapText="1"/>
    </xf>
    <xf numFmtId="49" fontId="13" fillId="0" borderId="56" xfId="8" applyNumberFormat="1" applyFont="1" applyBorder="1" applyAlignment="1">
      <alignment vertical="center" wrapText="1"/>
    </xf>
    <xf numFmtId="49" fontId="13" fillId="0" borderId="18" xfId="8" applyNumberFormat="1" applyFont="1" applyBorder="1" applyAlignment="1">
      <alignment vertical="center"/>
    </xf>
    <xf numFmtId="166" fontId="13" fillId="0" borderId="24" xfId="8" applyNumberFormat="1" applyFont="1" applyBorder="1" applyAlignment="1">
      <alignment vertical="center"/>
    </xf>
    <xf numFmtId="49" fontId="13" fillId="0" borderId="95" xfId="8" applyNumberFormat="1" applyFont="1" applyBorder="1" applyAlignment="1">
      <alignment vertical="center" wrapText="1"/>
    </xf>
    <xf numFmtId="166" fontId="13" fillId="0" borderId="3" xfId="8" applyNumberFormat="1" applyFont="1" applyBorder="1" applyAlignment="1">
      <alignment horizontal="left" vertical="center"/>
    </xf>
    <xf numFmtId="166" fontId="13" fillId="0" borderId="74" xfId="8" applyNumberFormat="1" applyFont="1" applyBorder="1" applyAlignment="1">
      <alignment horizontal="left" vertical="center"/>
    </xf>
    <xf numFmtId="0" fontId="13" fillId="0" borderId="78" xfId="8" applyFont="1" applyBorder="1" applyAlignment="1">
      <alignment vertical="center"/>
    </xf>
    <xf numFmtId="0" fontId="13" fillId="0" borderId="18" xfId="8" applyFont="1" applyBorder="1" applyAlignment="1">
      <alignment vertical="center"/>
    </xf>
    <xf numFmtId="166" fontId="14" fillId="0" borderId="134" xfId="8" applyNumberFormat="1" applyFont="1" applyBorder="1" applyAlignment="1">
      <alignment horizontal="right" vertical="center"/>
    </xf>
    <xf numFmtId="166" fontId="14" fillId="0" borderId="135" xfId="8" applyNumberFormat="1" applyFont="1" applyBorder="1" applyAlignment="1">
      <alignment horizontal="right" vertical="center"/>
    </xf>
    <xf numFmtId="166" fontId="13" fillId="0" borderId="142" xfId="8" applyNumberFormat="1" applyFont="1" applyBorder="1" applyAlignment="1">
      <alignment horizontal="right" vertical="center"/>
    </xf>
    <xf numFmtId="166" fontId="13" fillId="0" borderId="134" xfId="8" applyNumberFormat="1" applyFont="1" applyBorder="1" applyAlignment="1">
      <alignment horizontal="right" vertical="center"/>
    </xf>
    <xf numFmtId="49" fontId="13" fillId="0" borderId="96" xfId="31" applyNumberFormat="1" applyFont="1" applyBorder="1" applyAlignment="1">
      <alignment vertical="center" wrapText="1"/>
    </xf>
    <xf numFmtId="49" fontId="13" fillId="0" borderId="78" xfId="31" applyNumberFormat="1" applyFont="1" applyBorder="1" applyAlignment="1">
      <alignment vertical="center"/>
    </xf>
    <xf numFmtId="166" fontId="14" fillId="0" borderId="25" xfId="8" applyNumberFormat="1" applyFont="1" applyBorder="1" applyAlignment="1">
      <alignment horizontal="right" vertical="center"/>
    </xf>
    <xf numFmtId="49" fontId="13" fillId="0" borderId="40" xfId="31" applyNumberFormat="1" applyFont="1" applyBorder="1" applyAlignment="1">
      <alignment vertical="center"/>
    </xf>
    <xf numFmtId="0" fontId="13" fillId="0" borderId="52" xfId="8" applyFont="1" applyBorder="1" applyAlignment="1">
      <alignment vertical="center"/>
    </xf>
    <xf numFmtId="0" fontId="14" fillId="0" borderId="53" xfId="8" applyFont="1" applyBorder="1" applyAlignment="1">
      <alignment horizontal="left"/>
    </xf>
    <xf numFmtId="166" fontId="13" fillId="0" borderId="53" xfId="8" applyNumberFormat="1" applyFont="1" applyBorder="1"/>
    <xf numFmtId="0" fontId="14" fillId="0" borderId="0" xfId="8" applyFont="1" applyAlignment="1">
      <alignment horizontal="left"/>
    </xf>
    <xf numFmtId="166" fontId="14" fillId="0" borderId="0" xfId="8" applyNumberFormat="1" applyFont="1"/>
    <xf numFmtId="0" fontId="14" fillId="0" borderId="0" xfId="8" applyFont="1" applyAlignment="1">
      <alignment horizontal="center" vertical="center"/>
    </xf>
    <xf numFmtId="0" fontId="13" fillId="0" borderId="0" xfId="31" applyFont="1" applyAlignment="1">
      <alignment vertical="top"/>
    </xf>
    <xf numFmtId="0" fontId="13" fillId="0" borderId="0" xfId="31" applyFont="1" applyAlignment="1">
      <alignment horizontal="center" vertical="center"/>
    </xf>
    <xf numFmtId="0" fontId="13" fillId="0" borderId="0" xfId="31" applyFont="1" applyAlignment="1">
      <alignment vertical="center"/>
    </xf>
    <xf numFmtId="0" fontId="13" fillId="0" borderId="109" xfId="31" applyFont="1" applyBorder="1" applyAlignment="1">
      <alignment vertical="center"/>
    </xf>
    <xf numFmtId="0" fontId="13" fillId="0" borderId="0" xfId="31" applyFont="1" applyAlignment="1">
      <alignment horizontal="right" vertical="center"/>
    </xf>
    <xf numFmtId="166" fontId="13" fillId="0" borderId="7" xfId="31" applyNumberFormat="1" applyFont="1" applyBorder="1" applyAlignment="1">
      <alignment vertical="center"/>
    </xf>
    <xf numFmtId="166" fontId="13" fillId="0" borderId="0" xfId="31" applyNumberFormat="1" applyFont="1" applyAlignment="1">
      <alignment vertical="center"/>
    </xf>
    <xf numFmtId="166" fontId="13" fillId="0" borderId="41" xfId="31" applyNumberFormat="1" applyFont="1" applyBorder="1" applyAlignment="1">
      <alignment vertical="center"/>
    </xf>
    <xf numFmtId="166" fontId="14" fillId="0" borderId="43" xfId="31" applyNumberFormat="1" applyFont="1" applyBorder="1" applyAlignment="1">
      <alignment horizontal="right" vertical="center"/>
    </xf>
    <xf numFmtId="0" fontId="13" fillId="0" borderId="96" xfId="31" applyFont="1" applyBorder="1" applyAlignment="1">
      <alignment vertical="center"/>
    </xf>
    <xf numFmtId="166" fontId="13" fillId="0" borderId="35" xfId="31" applyNumberFormat="1" applyFont="1" applyBorder="1" applyAlignment="1">
      <alignment vertical="center"/>
    </xf>
    <xf numFmtId="166" fontId="13" fillId="0" borderId="36" xfId="31" applyNumberFormat="1" applyFont="1" applyBorder="1" applyAlignment="1">
      <alignment vertical="center"/>
    </xf>
    <xf numFmtId="166" fontId="14" fillId="0" borderId="37" xfId="31" applyNumberFormat="1" applyFont="1" applyBorder="1" applyAlignment="1">
      <alignment horizontal="right" vertical="center"/>
    </xf>
    <xf numFmtId="0" fontId="13" fillId="0" borderId="96" xfId="31" applyFont="1" applyBorder="1" applyAlignment="1">
      <alignment horizontal="left" vertical="top"/>
    </xf>
    <xf numFmtId="0" fontId="13" fillId="0" borderId="101" xfId="31" applyFont="1" applyBorder="1" applyAlignment="1">
      <alignment vertical="center"/>
    </xf>
    <xf numFmtId="166" fontId="13" fillId="0" borderId="79" xfId="31" applyNumberFormat="1" applyFont="1" applyBorder="1" applyAlignment="1">
      <alignment vertical="center"/>
    </xf>
    <xf numFmtId="166" fontId="13" fillId="0" borderId="63" xfId="31" applyNumberFormat="1" applyFont="1" applyBorder="1" applyAlignment="1">
      <alignment vertical="center"/>
    </xf>
    <xf numFmtId="166" fontId="14" fillId="0" borderId="76" xfId="31" applyNumberFormat="1" applyFont="1" applyBorder="1" applyAlignment="1">
      <alignment horizontal="right" vertical="center"/>
    </xf>
    <xf numFmtId="10" fontId="14" fillId="0" borderId="0" xfId="30" applyNumberFormat="1" applyFont="1" applyAlignment="1">
      <alignment vertical="center"/>
    </xf>
    <xf numFmtId="0" fontId="14" fillId="0" borderId="0" xfId="31" applyFont="1" applyAlignment="1">
      <alignment vertical="center"/>
    </xf>
    <xf numFmtId="0" fontId="13" fillId="0" borderId="62" xfId="31" applyFont="1" applyBorder="1" applyAlignment="1">
      <alignment vertical="center"/>
    </xf>
    <xf numFmtId="166" fontId="14" fillId="0" borderId="0" xfId="31" applyNumberFormat="1" applyFont="1" applyAlignment="1">
      <alignment vertical="center"/>
    </xf>
    <xf numFmtId="0" fontId="14" fillId="0" borderId="0" xfId="31" applyFont="1"/>
    <xf numFmtId="0" fontId="13" fillId="0" borderId="0" xfId="31" applyFont="1"/>
    <xf numFmtId="166" fontId="13" fillId="12" borderId="0" xfId="31" applyNumberFormat="1" applyFont="1" applyFill="1" applyAlignment="1">
      <alignment horizontal="center" vertical="center"/>
    </xf>
    <xf numFmtId="0" fontId="13" fillId="12" borderId="0" xfId="31" applyFont="1" applyFill="1" applyAlignment="1">
      <alignment horizontal="center" vertical="center"/>
    </xf>
    <xf numFmtId="0" fontId="13" fillId="7" borderId="0" xfId="31" quotePrefix="1" applyFont="1" applyFill="1" applyAlignment="1">
      <alignment horizontal="center" vertical="center"/>
    </xf>
    <xf numFmtId="0" fontId="14" fillId="0" borderId="56" xfId="31" applyFont="1" applyBorder="1" applyAlignment="1">
      <alignment vertical="center"/>
    </xf>
    <xf numFmtId="0" fontId="14" fillId="0" borderId="3" xfId="31" applyFont="1" applyBorder="1" applyAlignment="1">
      <alignment horizontal="left" vertical="center"/>
    </xf>
    <xf numFmtId="168" fontId="14" fillId="0" borderId="2" xfId="31" applyNumberFormat="1" applyFont="1" applyBorder="1" applyAlignment="1">
      <alignment horizontal="right" vertical="center"/>
    </xf>
    <xf numFmtId="168" fontId="14" fillId="0" borderId="11" xfId="31" applyNumberFormat="1" applyFont="1" applyBorder="1" applyAlignment="1">
      <alignment horizontal="right" vertical="center"/>
    </xf>
    <xf numFmtId="168" fontId="13" fillId="0" borderId="24" xfId="31" applyNumberFormat="1" applyFont="1" applyBorder="1" applyAlignment="1">
      <alignment horizontal="right" vertical="center"/>
    </xf>
    <xf numFmtId="168" fontId="14" fillId="0" borderId="26" xfId="31" applyNumberFormat="1" applyFont="1" applyBorder="1" applyAlignment="1">
      <alignment horizontal="right" vertical="center"/>
    </xf>
    <xf numFmtId="166" fontId="13" fillId="0" borderId="0" xfId="31" applyNumberFormat="1" applyFont="1" applyAlignment="1">
      <alignment horizontal="center" vertical="center"/>
    </xf>
    <xf numFmtId="0" fontId="13" fillId="0" borderId="28" xfId="31" applyFont="1" applyBorder="1" applyAlignment="1">
      <alignment horizontal="left" vertical="center"/>
    </xf>
    <xf numFmtId="168" fontId="13" fillId="0" borderId="30" xfId="31" applyNumberFormat="1" applyFont="1" applyBorder="1" applyAlignment="1">
      <alignment horizontal="right" vertical="center"/>
    </xf>
    <xf numFmtId="168" fontId="14" fillId="0" borderId="31" xfId="31" applyNumberFormat="1" applyFont="1" applyBorder="1" applyAlignment="1">
      <alignment horizontal="right" vertical="center"/>
    </xf>
    <xf numFmtId="0" fontId="13" fillId="0" borderId="34" xfId="31" applyFont="1" applyBorder="1" applyAlignment="1">
      <alignment horizontal="left" vertical="center"/>
    </xf>
    <xf numFmtId="168" fontId="13" fillId="0" borderId="36" xfId="31" applyNumberFormat="1" applyFont="1" applyBorder="1" applyAlignment="1">
      <alignment horizontal="right" vertical="center"/>
    </xf>
    <xf numFmtId="168" fontId="14" fillId="0" borderId="37" xfId="31" applyNumberFormat="1" applyFont="1" applyBorder="1" applyAlignment="1">
      <alignment horizontal="right" vertical="center"/>
    </xf>
    <xf numFmtId="0" fontId="14" fillId="0" borderId="0" xfId="30" applyNumberFormat="1" applyFont="1" applyFill="1" applyAlignment="1">
      <alignment vertical="center"/>
    </xf>
    <xf numFmtId="0" fontId="14" fillId="0" borderId="78" xfId="31" applyFont="1" applyBorder="1" applyAlignment="1">
      <alignment horizontal="left" vertical="center"/>
    </xf>
    <xf numFmtId="168" fontId="14" fillId="0" borderId="5" xfId="31" applyNumberFormat="1" applyFont="1" applyBorder="1" applyAlignment="1">
      <alignment horizontal="right" vertical="center"/>
    </xf>
    <xf numFmtId="168" fontId="14" fillId="0" borderId="79" xfId="31" applyNumberFormat="1" applyFont="1" applyBorder="1" applyAlignment="1">
      <alignment horizontal="right" vertical="center"/>
    </xf>
    <xf numFmtId="168" fontId="14" fillId="0" borderId="63" xfId="31" applyNumberFormat="1" applyFont="1" applyBorder="1" applyAlignment="1">
      <alignment horizontal="right" vertical="center"/>
    </xf>
    <xf numFmtId="168" fontId="14" fillId="0" borderId="76" xfId="31" applyNumberFormat="1" applyFont="1" applyBorder="1" applyAlignment="1">
      <alignment horizontal="right" vertical="center"/>
    </xf>
    <xf numFmtId="168" fontId="13" fillId="0" borderId="42" xfId="31" applyNumberFormat="1" applyFont="1" applyBorder="1" applyAlignment="1">
      <alignment horizontal="right" vertical="center"/>
    </xf>
    <xf numFmtId="168" fontId="14" fillId="0" borderId="43" xfId="31" applyNumberFormat="1" applyFont="1" applyBorder="1" applyAlignment="1">
      <alignment horizontal="right" vertical="center"/>
    </xf>
    <xf numFmtId="0" fontId="13" fillId="0" borderId="87" xfId="31" applyFont="1" applyBorder="1" applyAlignment="1">
      <alignment horizontal="left" vertical="center"/>
    </xf>
    <xf numFmtId="168" fontId="13" fillId="0" borderId="59" xfId="31" applyNumberFormat="1" applyFont="1" applyBorder="1" applyAlignment="1">
      <alignment horizontal="right" vertical="center"/>
    </xf>
    <xf numFmtId="168" fontId="14" fillId="0" borderId="86" xfId="31" applyNumberFormat="1" applyFont="1" applyBorder="1" applyAlignment="1">
      <alignment horizontal="right" vertical="center"/>
    </xf>
    <xf numFmtId="168" fontId="14" fillId="0" borderId="59" xfId="31" applyNumberFormat="1" applyFont="1" applyBorder="1" applyAlignment="1">
      <alignment horizontal="right" vertical="center"/>
    </xf>
    <xf numFmtId="168" fontId="14" fillId="0" borderId="24" xfId="31" applyNumberFormat="1" applyFont="1" applyBorder="1" applyAlignment="1">
      <alignment horizontal="right" vertical="center"/>
    </xf>
    <xf numFmtId="0" fontId="14" fillId="0" borderId="64" xfId="31" applyFont="1" applyBorder="1" applyAlignment="1">
      <alignment vertical="center"/>
    </xf>
    <xf numFmtId="0" fontId="14" fillId="0" borderId="2" xfId="31" applyFont="1" applyBorder="1" applyAlignment="1">
      <alignment horizontal="left" vertical="center"/>
    </xf>
    <xf numFmtId="166" fontId="13" fillId="0" borderId="5" xfId="31" applyNumberFormat="1" applyFont="1" applyBorder="1" applyAlignment="1">
      <alignment horizontal="center" vertical="center"/>
    </xf>
    <xf numFmtId="166" fontId="14" fillId="7" borderId="0" xfId="31" applyNumberFormat="1" applyFont="1" applyFill="1" applyAlignment="1">
      <alignment vertical="center"/>
    </xf>
    <xf numFmtId="0" fontId="13" fillId="0" borderId="0" xfId="31" applyFont="1" applyAlignment="1">
      <alignment horizontal="left" vertical="center"/>
    </xf>
    <xf numFmtId="166" fontId="25" fillId="0" borderId="36" xfId="0" applyNumberFormat="1" applyFont="1" applyBorder="1" applyAlignment="1">
      <alignment horizontal="right" vertical="center"/>
    </xf>
    <xf numFmtId="166" fontId="25" fillId="0" borderId="63" xfId="0" applyNumberFormat="1" applyFont="1" applyBorder="1" applyAlignment="1">
      <alignment horizontal="right" vertical="center"/>
    </xf>
    <xf numFmtId="166" fontId="25" fillId="0" borderId="61" xfId="0" applyNumberFormat="1" applyFont="1" applyBorder="1" applyAlignment="1">
      <alignment horizontal="right" vertical="center"/>
    </xf>
    <xf numFmtId="0" fontId="25" fillId="0" borderId="51" xfId="0" applyFont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5" fillId="0" borderId="0" xfId="0" applyFont="1" applyAlignment="1">
      <alignment vertical="center"/>
    </xf>
    <xf numFmtId="166" fontId="25" fillId="0" borderId="30" xfId="0" applyNumberFormat="1" applyFont="1" applyBorder="1" applyAlignment="1">
      <alignment horizontal="right" vertical="center"/>
    </xf>
    <xf numFmtId="166" fontId="25" fillId="0" borderId="112" xfId="0" applyNumberFormat="1" applyFont="1" applyBorder="1" applyAlignment="1">
      <alignment horizontal="right" vertical="center"/>
    </xf>
    <xf numFmtId="0" fontId="25" fillId="0" borderId="34" xfId="0" applyFont="1" applyBorder="1" applyAlignment="1">
      <alignment vertical="center"/>
    </xf>
    <xf numFmtId="0" fontId="25" fillId="0" borderId="51" xfId="0" applyFont="1" applyBorder="1" applyAlignment="1">
      <alignment horizontal="center" vertical="center"/>
    </xf>
    <xf numFmtId="0" fontId="25" fillId="0" borderId="78" xfId="0" applyFont="1" applyBorder="1" applyAlignment="1">
      <alignment vertical="center"/>
    </xf>
    <xf numFmtId="166" fontId="25" fillId="0" borderId="68" xfId="0" applyNumberFormat="1" applyFont="1" applyBorder="1" applyAlignment="1">
      <alignment horizontal="right" vertical="center"/>
    </xf>
    <xf numFmtId="0" fontId="28" fillId="9" borderId="104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vertical="center"/>
    </xf>
    <xf numFmtId="166" fontId="28" fillId="9" borderId="16" xfId="0" applyNumberFormat="1" applyFont="1" applyFill="1" applyBorder="1" applyAlignment="1">
      <alignment horizontal="right" vertical="center"/>
    </xf>
    <xf numFmtId="166" fontId="28" fillId="9" borderId="23" xfId="0" applyNumberFormat="1" applyFont="1" applyFill="1" applyBorder="1" applyAlignment="1">
      <alignment horizontal="right" vertical="center"/>
    </xf>
    <xf numFmtId="166" fontId="28" fillId="9" borderId="102" xfId="0" applyNumberFormat="1" applyFont="1" applyFill="1" applyBorder="1" applyAlignment="1">
      <alignment horizontal="right" vertical="center"/>
    </xf>
    <xf numFmtId="0" fontId="14" fillId="6" borderId="56" xfId="0" quotePrefix="1" applyFont="1" applyFill="1" applyBorder="1" applyAlignment="1">
      <alignment horizontal="center" vertical="center"/>
    </xf>
    <xf numFmtId="0" fontId="14" fillId="6" borderId="3" xfId="0" quotePrefix="1" applyFont="1" applyFill="1" applyBorder="1" applyAlignment="1">
      <alignment horizontal="center" vertical="center"/>
    </xf>
    <xf numFmtId="0" fontId="14" fillId="6" borderId="57" xfId="0" quotePrefix="1" applyFont="1" applyFill="1" applyBorder="1" applyAlignment="1">
      <alignment horizontal="center" vertical="center"/>
    </xf>
    <xf numFmtId="0" fontId="14" fillId="6" borderId="56" xfId="0" applyFont="1" applyFill="1" applyBorder="1" applyAlignment="1">
      <alignment horizontal="left" vertical="center"/>
    </xf>
    <xf numFmtId="166" fontId="14" fillId="6" borderId="3" xfId="0" applyNumberFormat="1" applyFont="1" applyFill="1" applyBorder="1" applyAlignment="1">
      <alignment horizontal="right" vertical="center"/>
    </xf>
    <xf numFmtId="2" fontId="14" fillId="6" borderId="3" xfId="0" applyNumberFormat="1" applyFont="1" applyFill="1" applyBorder="1" applyAlignment="1">
      <alignment vertical="center"/>
    </xf>
    <xf numFmtId="2" fontId="14" fillId="6" borderId="57" xfId="0" applyNumberFormat="1" applyFont="1" applyFill="1" applyBorder="1" applyAlignment="1">
      <alignment vertical="center"/>
    </xf>
    <xf numFmtId="166" fontId="14" fillId="6" borderId="11" xfId="0" applyNumberFormat="1" applyFont="1" applyFill="1" applyBorder="1" applyAlignment="1">
      <alignment horizontal="right" vertical="center"/>
    </xf>
    <xf numFmtId="0" fontId="14" fillId="6" borderId="103" xfId="0" applyFont="1" applyFill="1" applyBorder="1" applyAlignment="1">
      <alignment horizontal="left" vertical="center"/>
    </xf>
    <xf numFmtId="166" fontId="14" fillId="6" borderId="23" xfId="0" applyNumberFormat="1" applyFont="1" applyFill="1" applyBorder="1" applyAlignment="1">
      <alignment horizontal="right" vertical="center"/>
    </xf>
    <xf numFmtId="2" fontId="14" fillId="6" borderId="23" xfId="0" applyNumberFormat="1" applyFont="1" applyFill="1" applyBorder="1" applyAlignment="1">
      <alignment vertical="center"/>
    </xf>
    <xf numFmtId="166" fontId="14" fillId="6" borderId="16" xfId="0" applyNumberFormat="1" applyFont="1" applyFill="1" applyBorder="1" applyAlignment="1">
      <alignment horizontal="right" vertical="center"/>
    </xf>
    <xf numFmtId="2" fontId="14" fillId="6" borderId="102" xfId="0" applyNumberFormat="1" applyFont="1" applyFill="1" applyBorder="1" applyAlignment="1">
      <alignment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57" xfId="0" applyFont="1" applyFill="1" applyBorder="1" applyAlignment="1">
      <alignment horizontal="center" vertical="center"/>
    </xf>
    <xf numFmtId="166" fontId="14" fillId="6" borderId="23" xfId="0" applyNumberFormat="1" applyFont="1" applyFill="1" applyBorder="1" applyAlignment="1">
      <alignment vertical="center"/>
    </xf>
    <xf numFmtId="171" fontId="13" fillId="0" borderId="42" xfId="0" applyNumberFormat="1" applyFont="1" applyBorder="1" applyAlignment="1">
      <alignment horizontal="right" vertical="center"/>
    </xf>
    <xf numFmtId="166" fontId="13" fillId="0" borderId="85" xfId="0" applyNumberFormat="1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6" xfId="0" applyFont="1" applyBorder="1" applyAlignment="1">
      <alignment vertical="center"/>
    </xf>
    <xf numFmtId="166" fontId="14" fillId="8" borderId="11" xfId="0" applyNumberFormat="1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9" xfId="0" applyFont="1" applyFill="1" applyBorder="1" applyAlignment="1">
      <alignment horizontal="center" vertical="center"/>
    </xf>
    <xf numFmtId="0" fontId="16" fillId="0" borderId="0" xfId="8" applyFont="1" applyAlignment="1">
      <alignment vertical="center"/>
    </xf>
    <xf numFmtId="0" fontId="13" fillId="0" borderId="0" xfId="8" applyFont="1" applyAlignment="1">
      <alignment horizontal="right" vertical="center"/>
    </xf>
    <xf numFmtId="0" fontId="14" fillId="0" borderId="0" xfId="31" applyFont="1" applyAlignment="1">
      <alignment horizontal="center" vertical="center"/>
    </xf>
    <xf numFmtId="166" fontId="13" fillId="0" borderId="62" xfId="8" applyNumberFormat="1" applyFont="1" applyBorder="1" applyAlignment="1">
      <alignment vertical="center"/>
    </xf>
    <xf numFmtId="166" fontId="13" fillId="0" borderId="109" xfId="8" applyNumberFormat="1" applyFont="1" applyBorder="1" applyAlignment="1">
      <alignment vertical="center"/>
    </xf>
    <xf numFmtId="166" fontId="13" fillId="0" borderId="32" xfId="8" applyNumberFormat="1" applyFont="1" applyBorder="1" applyAlignment="1">
      <alignment vertical="center"/>
    </xf>
    <xf numFmtId="166" fontId="13" fillId="0" borderId="30" xfId="8" applyNumberFormat="1" applyFont="1" applyBorder="1" applyAlignment="1">
      <alignment vertical="center"/>
    </xf>
    <xf numFmtId="166" fontId="14" fillId="0" borderId="115" xfId="8" applyNumberFormat="1" applyFont="1" applyBorder="1" applyAlignment="1">
      <alignment vertical="center"/>
    </xf>
    <xf numFmtId="166" fontId="13" fillId="0" borderId="96" xfId="8" applyNumberFormat="1" applyFont="1" applyBorder="1" applyAlignment="1">
      <alignment vertical="center"/>
    </xf>
    <xf numFmtId="166" fontId="13" fillId="0" borderId="38" xfId="8" applyNumberFormat="1" applyFont="1" applyBorder="1" applyAlignment="1">
      <alignment vertical="center"/>
    </xf>
    <xf numFmtId="166" fontId="13" fillId="0" borderId="36" xfId="8" applyNumberFormat="1" applyFont="1" applyBorder="1" applyAlignment="1">
      <alignment vertical="center"/>
    </xf>
    <xf numFmtId="166" fontId="13" fillId="0" borderId="119" xfId="8" applyNumberFormat="1" applyFont="1" applyBorder="1" applyAlignment="1">
      <alignment vertical="center"/>
    </xf>
    <xf numFmtId="166" fontId="14" fillId="0" borderId="91" xfId="8" applyNumberFormat="1" applyFont="1" applyBorder="1" applyAlignment="1">
      <alignment vertical="center"/>
    </xf>
    <xf numFmtId="0" fontId="13" fillId="0" borderId="96" xfId="31" applyFont="1" applyBorder="1" applyAlignment="1">
      <alignment vertical="center" wrapText="1"/>
    </xf>
    <xf numFmtId="166" fontId="13" fillId="0" borderId="101" xfId="8" applyNumberFormat="1" applyFont="1" applyBorder="1" applyAlignment="1">
      <alignment vertical="center"/>
    </xf>
    <xf numFmtId="166" fontId="13" fillId="0" borderId="77" xfId="8" applyNumberFormat="1" applyFont="1" applyBorder="1" applyAlignment="1">
      <alignment vertical="center"/>
    </xf>
    <xf numFmtId="166" fontId="13" fillId="0" borderId="120" xfId="8" applyNumberFormat="1" applyFont="1" applyBorder="1" applyAlignment="1">
      <alignment vertical="center"/>
    </xf>
    <xf numFmtId="166" fontId="14" fillId="0" borderId="92" xfId="8" applyNumberFormat="1" applyFont="1" applyBorder="1" applyAlignment="1">
      <alignment vertical="center"/>
    </xf>
    <xf numFmtId="166" fontId="13" fillId="0" borderId="0" xfId="31" applyNumberFormat="1" applyFont="1"/>
    <xf numFmtId="10" fontId="13" fillId="0" borderId="0" xfId="31" applyNumberFormat="1" applyFont="1"/>
    <xf numFmtId="166" fontId="34" fillId="0" borderId="0" xfId="8" applyNumberFormat="1" applyFont="1" applyAlignment="1">
      <alignment vertical="center"/>
    </xf>
    <xf numFmtId="166" fontId="18" fillId="0" borderId="30" xfId="8" applyNumberFormat="1" applyFont="1" applyBorder="1" applyAlignment="1">
      <alignment vertical="center"/>
    </xf>
    <xf numFmtId="166" fontId="34" fillId="0" borderId="115" xfId="8" applyNumberFormat="1" applyFont="1" applyBorder="1" applyAlignment="1">
      <alignment vertical="center"/>
    </xf>
    <xf numFmtId="166" fontId="18" fillId="0" borderId="96" xfId="8" applyNumberFormat="1" applyFont="1" applyBorder="1" applyAlignment="1">
      <alignment vertical="center"/>
    </xf>
    <xf numFmtId="166" fontId="18" fillId="0" borderId="36" xfId="8" applyNumberFormat="1" applyFont="1" applyBorder="1" applyAlignment="1">
      <alignment vertical="center"/>
    </xf>
    <xf numFmtId="166" fontId="34" fillId="0" borderId="34" xfId="8" applyNumberFormat="1" applyFont="1" applyBorder="1" applyAlignment="1">
      <alignment vertical="center"/>
    </xf>
    <xf numFmtId="166" fontId="18" fillId="0" borderId="63" xfId="8" applyNumberFormat="1" applyFont="1" applyBorder="1" applyAlignment="1">
      <alignment vertical="center"/>
    </xf>
    <xf numFmtId="166" fontId="13" fillId="0" borderId="93" xfId="0" applyNumberFormat="1" applyFont="1" applyBorder="1" applyAlignment="1">
      <alignment vertical="center"/>
    </xf>
    <xf numFmtId="0" fontId="13" fillId="0" borderId="95" xfId="0" applyFont="1" applyBorder="1" applyAlignment="1">
      <alignment horizontal="left" vertical="center"/>
    </xf>
    <xf numFmtId="166" fontId="14" fillId="0" borderId="65" xfId="0" applyNumberFormat="1" applyFont="1" applyBorder="1" applyAlignment="1">
      <alignment vertical="center"/>
    </xf>
    <xf numFmtId="166" fontId="14" fillId="0" borderId="61" xfId="0" applyNumberFormat="1" applyFont="1" applyBorder="1" applyAlignment="1">
      <alignment vertical="center"/>
    </xf>
    <xf numFmtId="166" fontId="14" fillId="0" borderId="65" xfId="0" applyNumberFormat="1" applyFont="1" applyBorder="1" applyAlignment="1">
      <alignment horizontal="right" vertical="center"/>
    </xf>
    <xf numFmtId="166" fontId="14" fillId="0" borderId="61" xfId="0" applyNumberFormat="1" applyFont="1" applyBorder="1" applyAlignment="1">
      <alignment horizontal="right" vertical="center"/>
    </xf>
    <xf numFmtId="166" fontId="13" fillId="10" borderId="36" xfId="0" applyNumberFormat="1" applyFont="1" applyFill="1" applyBorder="1" applyAlignment="1">
      <alignment horizontal="right" vertical="center"/>
    </xf>
    <xf numFmtId="166" fontId="15" fillId="0" borderId="0" xfId="0" applyNumberFormat="1" applyFont="1"/>
    <xf numFmtId="166" fontId="14" fillId="0" borderId="54" xfId="8" applyNumberFormat="1" applyFont="1" applyBorder="1"/>
    <xf numFmtId="0" fontId="14" fillId="11" borderId="56" xfId="31" quotePrefix="1" applyFont="1" applyFill="1" applyBorder="1" applyAlignment="1">
      <alignment horizontal="center" vertical="center"/>
    </xf>
    <xf numFmtId="0" fontId="14" fillId="11" borderId="3" xfId="31" quotePrefix="1" applyFont="1" applyFill="1" applyBorder="1" applyAlignment="1">
      <alignment horizontal="center" vertical="center"/>
    </xf>
    <xf numFmtId="166" fontId="14" fillId="11" borderId="3" xfId="31" quotePrefix="1" applyNumberFormat="1" applyFont="1" applyFill="1" applyBorder="1" applyAlignment="1">
      <alignment horizontal="center" vertical="center"/>
    </xf>
    <xf numFmtId="166" fontId="14" fillId="11" borderId="64" xfId="8" applyNumberFormat="1" applyFont="1" applyFill="1" applyBorder="1" applyAlignment="1">
      <alignment horizontal="right" vertical="center"/>
    </xf>
    <xf numFmtId="166" fontId="14" fillId="11" borderId="1" xfId="8" applyNumberFormat="1" applyFont="1" applyFill="1" applyBorder="1" applyAlignment="1">
      <alignment horizontal="left" vertical="center"/>
    </xf>
    <xf numFmtId="166" fontId="14" fillId="11" borderId="2" xfId="8" applyNumberFormat="1" applyFont="1" applyFill="1" applyBorder="1" applyAlignment="1">
      <alignment horizontal="right" vertical="center"/>
    </xf>
    <xf numFmtId="166" fontId="14" fillId="11" borderId="11" xfId="8" applyNumberFormat="1" applyFont="1" applyFill="1" applyBorder="1" applyAlignment="1">
      <alignment horizontal="right" vertical="center"/>
    </xf>
    <xf numFmtId="166" fontId="14" fillId="11" borderId="3" xfId="8" applyNumberFormat="1" applyFont="1" applyFill="1" applyBorder="1" applyAlignment="1">
      <alignment horizontal="right" vertical="center"/>
    </xf>
    <xf numFmtId="166" fontId="14" fillId="11" borderId="90" xfId="8" applyNumberFormat="1" applyFont="1" applyFill="1" applyBorder="1" applyAlignment="1">
      <alignment horizontal="right" vertical="center"/>
    </xf>
    <xf numFmtId="166" fontId="14" fillId="11" borderId="12" xfId="8" applyNumberFormat="1" applyFont="1" applyFill="1" applyBorder="1" applyAlignment="1">
      <alignment horizontal="left" vertical="center"/>
    </xf>
    <xf numFmtId="166" fontId="14" fillId="11" borderId="13" xfId="8" applyNumberFormat="1" applyFont="1" applyFill="1" applyBorder="1" applyAlignment="1">
      <alignment horizontal="right" vertical="center"/>
    </xf>
    <xf numFmtId="166" fontId="14" fillId="11" borderId="14" xfId="8" applyNumberFormat="1" applyFont="1" applyFill="1" applyBorder="1" applyAlignment="1">
      <alignment horizontal="right" vertical="center"/>
    </xf>
    <xf numFmtId="0" fontId="14" fillId="11" borderId="64" xfId="31" quotePrefix="1" applyFont="1" applyFill="1" applyBorder="1" applyAlignment="1">
      <alignment horizontal="left" vertical="center"/>
    </xf>
    <xf numFmtId="0" fontId="14" fillId="11" borderId="2" xfId="31" quotePrefix="1" applyFont="1" applyFill="1" applyBorder="1" applyAlignment="1">
      <alignment horizontal="left" vertical="center"/>
    </xf>
    <xf numFmtId="0" fontId="14" fillId="11" borderId="2" xfId="31" quotePrefix="1" applyFont="1" applyFill="1" applyBorder="1" applyAlignment="1">
      <alignment horizontal="center" vertical="center"/>
    </xf>
    <xf numFmtId="0" fontId="14" fillId="11" borderId="11" xfId="31" quotePrefix="1" applyFont="1" applyFill="1" applyBorder="1" applyAlignment="1">
      <alignment horizontal="right" vertical="center"/>
    </xf>
    <xf numFmtId="166" fontId="14" fillId="11" borderId="3" xfId="31" quotePrefix="1" applyNumberFormat="1" applyFont="1" applyFill="1" applyBorder="1" applyAlignment="1">
      <alignment horizontal="right" vertical="center"/>
    </xf>
    <xf numFmtId="165" fontId="14" fillId="6" borderId="56" xfId="25" applyFont="1" applyFill="1" applyBorder="1" applyAlignment="1">
      <alignment horizontal="center" vertical="center"/>
    </xf>
    <xf numFmtId="165" fontId="14" fillId="6" borderId="3" xfId="25" applyFont="1" applyFill="1" applyBorder="1" applyAlignment="1">
      <alignment horizontal="center" vertical="center"/>
    </xf>
    <xf numFmtId="166" fontId="14" fillId="6" borderId="3" xfId="0" applyNumberFormat="1" applyFont="1" applyFill="1" applyBorder="1" applyAlignment="1">
      <alignment horizontal="center" vertical="center"/>
    </xf>
    <xf numFmtId="167" fontId="14" fillId="6" borderId="3" xfId="0" applyNumberFormat="1" applyFont="1" applyFill="1" applyBorder="1" applyAlignment="1">
      <alignment horizontal="center" vertical="center"/>
    </xf>
    <xf numFmtId="166" fontId="14" fillId="6" borderId="3" xfId="0" quotePrefix="1" applyNumberFormat="1" applyFont="1" applyFill="1" applyBorder="1" applyAlignment="1">
      <alignment horizontal="center" vertical="center"/>
    </xf>
    <xf numFmtId="167" fontId="14" fillId="6" borderId="1" xfId="0" quotePrefix="1" applyNumberFormat="1" applyFont="1" applyFill="1" applyBorder="1" applyAlignment="1">
      <alignment horizontal="center" vertical="center"/>
    </xf>
    <xf numFmtId="167" fontId="14" fillId="6" borderId="1" xfId="0" applyNumberFormat="1" applyFont="1" applyFill="1" applyBorder="1" applyAlignment="1">
      <alignment horizontal="center" vertical="center"/>
    </xf>
    <xf numFmtId="165" fontId="14" fillId="6" borderId="103" xfId="25" applyFont="1" applyFill="1" applyBorder="1" applyAlignment="1">
      <alignment vertical="center"/>
    </xf>
    <xf numFmtId="166" fontId="14" fillId="6" borderId="23" xfId="25" applyNumberFormat="1" applyFont="1" applyFill="1" applyBorder="1" applyAlignment="1">
      <alignment horizontal="right" vertical="center"/>
    </xf>
    <xf numFmtId="0" fontId="14" fillId="6" borderId="100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right" vertical="center"/>
    </xf>
    <xf numFmtId="0" fontId="14" fillId="6" borderId="66" xfId="0" applyFont="1" applyFill="1" applyBorder="1" applyAlignment="1">
      <alignment horizontal="right" vertical="center"/>
    </xf>
    <xf numFmtId="166" fontId="14" fillId="6" borderId="57" xfId="0" quotePrefix="1" applyNumberFormat="1" applyFont="1" applyFill="1" applyBorder="1" applyAlignment="1">
      <alignment horizontal="center" vertical="center"/>
    </xf>
    <xf numFmtId="165" fontId="14" fillId="6" borderId="56" xfId="24" applyFont="1" applyFill="1" applyBorder="1" applyAlignment="1">
      <alignment horizontal="left" vertical="center"/>
    </xf>
    <xf numFmtId="165" fontId="14" fillId="6" borderId="3" xfId="24" applyFont="1" applyFill="1" applyBorder="1" applyAlignment="1">
      <alignment horizontal="center" vertical="center"/>
    </xf>
    <xf numFmtId="166" fontId="14" fillId="6" borderId="3" xfId="0" applyNumberFormat="1" applyFont="1" applyFill="1" applyBorder="1" applyAlignment="1">
      <alignment vertical="center"/>
    </xf>
    <xf numFmtId="166" fontId="14" fillId="6" borderId="3" xfId="22" applyNumberFormat="1" applyFont="1" applyFill="1" applyBorder="1" applyAlignment="1">
      <alignment horizontal="right" vertical="center"/>
    </xf>
    <xf numFmtId="165" fontId="14" fillId="6" borderId="56" xfId="25" applyFont="1" applyFill="1" applyBorder="1" applyAlignment="1">
      <alignment horizontal="left" vertical="center"/>
    </xf>
    <xf numFmtId="165" fontId="14" fillId="6" borderId="103" xfId="25" applyFont="1" applyFill="1" applyBorder="1" applyAlignment="1">
      <alignment horizontal="left" vertical="center"/>
    </xf>
    <xf numFmtId="165" fontId="14" fillId="6" borderId="23" xfId="25" applyFont="1" applyFill="1" applyBorder="1" applyAlignment="1">
      <alignment horizontal="center" vertical="center"/>
    </xf>
    <xf numFmtId="165" fontId="14" fillId="6" borderId="64" xfId="23" applyFont="1" applyFill="1" applyBorder="1" applyAlignment="1">
      <alignment horizontal="left" vertical="center"/>
    </xf>
    <xf numFmtId="167" fontId="14" fillId="6" borderId="3" xfId="0" quotePrefix="1" applyNumberFormat="1" applyFont="1" applyFill="1" applyBorder="1" applyAlignment="1">
      <alignment horizontal="center" vertical="center"/>
    </xf>
    <xf numFmtId="165" fontId="14" fillId="6" borderId="64" xfId="22" applyFont="1" applyFill="1" applyBorder="1" applyAlignment="1">
      <alignment horizontal="left" vertical="center"/>
    </xf>
    <xf numFmtId="2" fontId="14" fillId="6" borderId="3" xfId="22" applyNumberFormat="1" applyFont="1" applyFill="1" applyBorder="1" applyAlignment="1">
      <alignment horizontal="right" vertical="center"/>
    </xf>
    <xf numFmtId="166" fontId="14" fillId="6" borderId="1" xfId="22" applyNumberFormat="1" applyFont="1" applyFill="1" applyBorder="1" applyAlignment="1">
      <alignment horizontal="right" vertical="center"/>
    </xf>
    <xf numFmtId="2" fontId="14" fillId="6" borderId="11" xfId="22" applyNumberFormat="1" applyFont="1" applyFill="1" applyBorder="1" applyAlignment="1">
      <alignment horizontal="right" vertical="center"/>
    </xf>
    <xf numFmtId="165" fontId="14" fillId="6" borderId="104" xfId="23" applyFont="1" applyFill="1" applyBorder="1" applyAlignment="1">
      <alignment horizontal="left" vertical="center"/>
    </xf>
    <xf numFmtId="166" fontId="14" fillId="6" borderId="23" xfId="23" applyNumberFormat="1" applyFont="1" applyFill="1" applyBorder="1" applyAlignment="1">
      <alignment horizontal="right" vertical="center"/>
    </xf>
    <xf numFmtId="2" fontId="14" fillId="6" borderId="23" xfId="22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center" vertical="center"/>
    </xf>
    <xf numFmtId="167" fontId="14" fillId="6" borderId="11" xfId="0" quotePrefix="1" applyNumberFormat="1" applyFont="1" applyFill="1" applyBorder="1" applyAlignment="1">
      <alignment horizontal="center" vertical="center"/>
    </xf>
    <xf numFmtId="167" fontId="14" fillId="6" borderId="57" xfId="0" quotePrefix="1" applyNumberFormat="1" applyFont="1" applyFill="1" applyBorder="1" applyAlignment="1">
      <alignment horizontal="center" vertical="center"/>
    </xf>
    <xf numFmtId="166" fontId="14" fillId="6" borderId="56" xfId="21" applyNumberFormat="1" applyFont="1" applyFill="1" applyBorder="1" applyAlignment="1">
      <alignment vertical="center"/>
    </xf>
    <xf numFmtId="2" fontId="14" fillId="6" borderId="3" xfId="21" applyNumberFormat="1" applyFont="1" applyFill="1" applyBorder="1" applyAlignment="1">
      <alignment vertical="center"/>
    </xf>
    <xf numFmtId="166" fontId="14" fillId="6" borderId="3" xfId="21" applyNumberFormat="1" applyFont="1" applyFill="1" applyBorder="1" applyAlignment="1">
      <alignment horizontal="right" vertical="center"/>
    </xf>
    <xf numFmtId="171" fontId="13" fillId="6" borderId="31" xfId="21" applyNumberFormat="1" applyFont="1" applyFill="1" applyBorder="1" applyAlignment="1">
      <alignment vertical="center"/>
    </xf>
    <xf numFmtId="166" fontId="14" fillId="6" borderId="103" xfId="21" applyNumberFormat="1" applyFont="1" applyFill="1" applyBorder="1" applyAlignment="1">
      <alignment vertical="center"/>
    </xf>
    <xf numFmtId="2" fontId="14" fillId="6" borderId="23" xfId="21" applyNumberFormat="1" applyFont="1" applyFill="1" applyBorder="1" applyAlignment="1">
      <alignment vertical="center"/>
    </xf>
    <xf numFmtId="166" fontId="14" fillId="6" borderId="23" xfId="21" applyNumberFormat="1" applyFont="1" applyFill="1" applyBorder="1" applyAlignment="1">
      <alignment horizontal="right" vertical="center"/>
    </xf>
    <xf numFmtId="171" fontId="13" fillId="6" borderId="131" xfId="21" applyNumberFormat="1" applyFont="1" applyFill="1" applyBorder="1" applyAlignment="1">
      <alignment vertical="center"/>
    </xf>
    <xf numFmtId="165" fontId="14" fillId="6" borderId="56" xfId="21" applyFont="1" applyFill="1" applyBorder="1" applyAlignment="1">
      <alignment vertical="center"/>
    </xf>
    <xf numFmtId="165" fontId="14" fillId="6" borderId="3" xfId="21" applyFont="1" applyFill="1" applyBorder="1" applyAlignment="1">
      <alignment vertical="center"/>
    </xf>
    <xf numFmtId="166" fontId="14" fillId="6" borderId="3" xfId="21" applyNumberFormat="1" applyFont="1" applyFill="1" applyBorder="1" applyAlignment="1">
      <alignment vertical="center"/>
    </xf>
    <xf numFmtId="166" fontId="14" fillId="6" borderId="11" xfId="21" applyNumberFormat="1" applyFont="1" applyFill="1" applyBorder="1" applyAlignment="1">
      <alignment vertical="center"/>
    </xf>
    <xf numFmtId="171" fontId="13" fillId="6" borderId="132" xfId="21" applyNumberFormat="1" applyFont="1" applyFill="1" applyBorder="1" applyAlignment="1">
      <alignment vertical="center"/>
    </xf>
    <xf numFmtId="0" fontId="14" fillId="6" borderId="56" xfId="0" applyFont="1" applyFill="1" applyBorder="1" applyAlignment="1">
      <alignment horizontal="center" vertical="center"/>
    </xf>
    <xf numFmtId="165" fontId="14" fillId="6" borderId="3" xfId="20" applyFont="1" applyFill="1" applyBorder="1" applyAlignment="1">
      <alignment horizontal="center" vertical="center"/>
    </xf>
    <xf numFmtId="166" fontId="14" fillId="6" borderId="3" xfId="20" quotePrefix="1" applyNumberFormat="1" applyFont="1" applyFill="1" applyBorder="1" applyAlignment="1">
      <alignment horizontal="center" vertical="center"/>
    </xf>
    <xf numFmtId="165" fontId="14" fillId="6" borderId="3" xfId="20" quotePrefix="1" applyFont="1" applyFill="1" applyBorder="1" applyAlignment="1">
      <alignment horizontal="center" vertical="center"/>
    </xf>
    <xf numFmtId="165" fontId="14" fillId="6" borderId="67" xfId="20" applyFont="1" applyFill="1" applyBorder="1" applyAlignment="1">
      <alignment horizontal="center" vertical="center"/>
    </xf>
    <xf numFmtId="49" fontId="14" fillId="6" borderId="3" xfId="20" applyNumberFormat="1" applyFont="1" applyFill="1" applyBorder="1" applyAlignment="1">
      <alignment horizontal="center" vertical="center"/>
    </xf>
    <xf numFmtId="165" fontId="14" fillId="6" borderId="1" xfId="20" applyFont="1" applyFill="1" applyBorder="1" applyAlignment="1">
      <alignment horizontal="center" vertical="center"/>
    </xf>
    <xf numFmtId="165" fontId="14" fillId="6" borderId="107" xfId="20" applyFont="1" applyFill="1" applyBorder="1" applyAlignment="1">
      <alignment horizontal="center" vertical="center"/>
    </xf>
    <xf numFmtId="169" fontId="14" fillId="6" borderId="3" xfId="0" applyNumberFormat="1" applyFont="1" applyFill="1" applyBorder="1" applyAlignment="1">
      <alignment horizontal="right" vertical="center"/>
    </xf>
    <xf numFmtId="0" fontId="14" fillId="6" borderId="3" xfId="0" quotePrefix="1" applyFont="1" applyFill="1" applyBorder="1" applyAlignment="1">
      <alignment horizontal="right" vertical="center" wrapText="1"/>
    </xf>
    <xf numFmtId="166" fontId="14" fillId="6" borderId="23" xfId="0" applyNumberFormat="1" applyFont="1" applyFill="1" applyBorder="1" applyAlignment="1">
      <alignment horizontal="center" vertical="center"/>
    </xf>
    <xf numFmtId="0" fontId="14" fillId="6" borderId="56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right" vertical="center" wrapText="1"/>
    </xf>
    <xf numFmtId="0" fontId="14" fillId="6" borderId="57" xfId="0" quotePrefix="1" applyFont="1" applyFill="1" applyBorder="1" applyAlignment="1">
      <alignment horizontal="right" vertical="center" wrapText="1"/>
    </xf>
    <xf numFmtId="0" fontId="33" fillId="11" borderId="56" xfId="31" applyFont="1" applyFill="1" applyBorder="1" applyAlignment="1">
      <alignment horizontal="left" vertical="center" wrapText="1"/>
    </xf>
    <xf numFmtId="0" fontId="33" fillId="11" borderId="3" xfId="31" applyFont="1" applyFill="1" applyBorder="1" applyAlignment="1">
      <alignment horizontal="right" vertical="center" wrapText="1"/>
    </xf>
    <xf numFmtId="0" fontId="33" fillId="11" borderId="3" xfId="31" quotePrefix="1" applyFont="1" applyFill="1" applyBorder="1" applyAlignment="1">
      <alignment horizontal="right" vertical="center" wrapText="1"/>
    </xf>
    <xf numFmtId="0" fontId="33" fillId="11" borderId="57" xfId="31" quotePrefix="1" applyFont="1" applyFill="1" applyBorder="1" applyAlignment="1">
      <alignment horizontal="right" vertical="center" wrapText="1"/>
    </xf>
    <xf numFmtId="0" fontId="14" fillId="11" borderId="57" xfId="31" quotePrefix="1" applyFont="1" applyFill="1" applyBorder="1" applyAlignment="1">
      <alignment horizontal="center" vertical="center"/>
    </xf>
    <xf numFmtId="0" fontId="14" fillId="6" borderId="99" xfId="0" applyFont="1" applyFill="1" applyBorder="1" applyAlignment="1">
      <alignment horizontal="left" vertical="center"/>
    </xf>
    <xf numFmtId="168" fontId="14" fillId="0" borderId="39" xfId="31" applyNumberFormat="1" applyFont="1" applyBorder="1" applyAlignment="1">
      <alignment horizontal="right" vertical="center"/>
    </xf>
    <xf numFmtId="168" fontId="13" fillId="0" borderId="32" xfId="31" applyNumberFormat="1" applyFont="1" applyBorder="1" applyAlignment="1">
      <alignment horizontal="right" vertical="center"/>
    </xf>
    <xf numFmtId="168" fontId="13" fillId="0" borderId="38" xfId="31" applyNumberFormat="1" applyFont="1" applyBorder="1" applyAlignment="1">
      <alignment horizontal="right" vertical="center"/>
    </xf>
    <xf numFmtId="168" fontId="14" fillId="0" borderId="77" xfId="31" applyNumberFormat="1" applyFont="1" applyBorder="1" applyAlignment="1">
      <alignment horizontal="right" vertical="center"/>
    </xf>
    <xf numFmtId="168" fontId="13" fillId="0" borderId="44" xfId="31" applyNumberFormat="1" applyFont="1" applyBorder="1" applyAlignment="1">
      <alignment horizontal="right" vertical="center"/>
    </xf>
    <xf numFmtId="168" fontId="13" fillId="0" borderId="121" xfId="31" applyNumberFormat="1" applyFont="1" applyBorder="1" applyAlignment="1">
      <alignment horizontal="right" vertical="center"/>
    </xf>
    <xf numFmtId="0" fontId="14" fillId="11" borderId="64" xfId="31" quotePrefix="1" applyFont="1" applyFill="1" applyBorder="1" applyAlignment="1">
      <alignment horizontal="center" vertical="center"/>
    </xf>
    <xf numFmtId="0" fontId="14" fillId="11" borderId="11" xfId="31" quotePrefix="1" applyFont="1" applyFill="1" applyBorder="1" applyAlignment="1">
      <alignment horizontal="center" vertical="center"/>
    </xf>
    <xf numFmtId="0" fontId="14" fillId="11" borderId="56" xfId="31" applyFont="1" applyFill="1" applyBorder="1" applyAlignment="1">
      <alignment vertical="center"/>
    </xf>
    <xf numFmtId="166" fontId="14" fillId="11" borderId="3" xfId="31" applyNumberFormat="1" applyFont="1" applyFill="1" applyBorder="1" applyAlignment="1">
      <alignment vertical="center"/>
    </xf>
    <xf numFmtId="168" fontId="14" fillId="11" borderId="3" xfId="31" applyNumberFormat="1" applyFont="1" applyFill="1" applyBorder="1" applyAlignment="1">
      <alignment horizontal="right" vertical="center"/>
    </xf>
    <xf numFmtId="168" fontId="14" fillId="11" borderId="11" xfId="31" applyNumberFormat="1" applyFont="1" applyFill="1" applyBorder="1" applyAlignment="1">
      <alignment horizontal="right" vertical="center"/>
    </xf>
    <xf numFmtId="0" fontId="14" fillId="11" borderId="103" xfId="31" applyFont="1" applyFill="1" applyBorder="1" applyAlignment="1">
      <alignment horizontal="left" vertical="center"/>
    </xf>
    <xf numFmtId="168" fontId="14" fillId="11" borderId="23" xfId="31" applyNumberFormat="1" applyFont="1" applyFill="1" applyBorder="1" applyAlignment="1">
      <alignment horizontal="right" vertical="center"/>
    </xf>
    <xf numFmtId="168" fontId="14" fillId="11" borderId="16" xfId="31" applyNumberFormat="1" applyFont="1" applyFill="1" applyBorder="1" applyAlignment="1">
      <alignment horizontal="right" vertical="center"/>
    </xf>
    <xf numFmtId="166" fontId="13" fillId="0" borderId="44" xfId="31" applyNumberFormat="1" applyFont="1" applyBorder="1" applyAlignment="1">
      <alignment vertical="center"/>
    </xf>
    <xf numFmtId="166" fontId="13" fillId="0" borderId="38" xfId="31" applyNumberFormat="1" applyFont="1" applyBorder="1" applyAlignment="1">
      <alignment vertical="center"/>
    </xf>
    <xf numFmtId="0" fontId="14" fillId="11" borderId="100" xfId="31" quotePrefix="1" applyFont="1" applyFill="1" applyBorder="1" applyAlignment="1">
      <alignment horizontal="left" vertical="center"/>
    </xf>
    <xf numFmtId="166" fontId="14" fillId="11" borderId="11" xfId="31" applyNumberFormat="1" applyFont="1" applyFill="1" applyBorder="1" applyAlignment="1">
      <alignment horizontal="right" vertical="center"/>
    </xf>
    <xf numFmtId="166" fontId="14" fillId="11" borderId="1" xfId="31" applyNumberFormat="1" applyFont="1" applyFill="1" applyBorder="1" applyAlignment="1">
      <alignment vertical="center"/>
    </xf>
    <xf numFmtId="166" fontId="14" fillId="11" borderId="2" xfId="31" applyNumberFormat="1" applyFont="1" applyFill="1" applyBorder="1" applyAlignment="1">
      <alignment vertical="center"/>
    </xf>
    <xf numFmtId="166" fontId="14" fillId="11" borderId="11" xfId="31" applyNumberFormat="1" applyFont="1" applyFill="1" applyBorder="1" applyAlignment="1">
      <alignment vertical="center"/>
    </xf>
    <xf numFmtId="0" fontId="14" fillId="11" borderId="56" xfId="31" applyFont="1" applyFill="1" applyBorder="1" applyAlignment="1">
      <alignment horizontal="left" vertical="center"/>
    </xf>
    <xf numFmtId="0" fontId="14" fillId="11" borderId="99" xfId="31" applyFont="1" applyFill="1" applyBorder="1" applyAlignment="1">
      <alignment vertical="center"/>
    </xf>
    <xf numFmtId="166" fontId="14" fillId="11" borderId="13" xfId="31" applyNumberFormat="1" applyFont="1" applyFill="1" applyBorder="1" applyAlignment="1">
      <alignment horizontal="right" vertical="center"/>
    </xf>
    <xf numFmtId="166" fontId="14" fillId="11" borderId="14" xfId="31" applyNumberFormat="1" applyFont="1" applyFill="1" applyBorder="1" applyAlignment="1">
      <alignment horizontal="right" vertical="center"/>
    </xf>
    <xf numFmtId="166" fontId="14" fillId="11" borderId="3" xfId="31" applyNumberFormat="1" applyFont="1" applyFill="1" applyBorder="1" applyAlignment="1">
      <alignment horizontal="right" vertical="center"/>
    </xf>
    <xf numFmtId="0" fontId="14" fillId="11" borderId="103" xfId="31" applyFont="1" applyFill="1" applyBorder="1" applyAlignment="1">
      <alignment vertical="center"/>
    </xf>
    <xf numFmtId="166" fontId="14" fillId="11" borderId="6" xfId="31" applyNumberFormat="1" applyFont="1" applyFill="1" applyBorder="1" applyAlignment="1">
      <alignment horizontal="right" vertical="center"/>
    </xf>
    <xf numFmtId="166" fontId="14" fillId="11" borderId="16" xfId="31" applyNumberFormat="1" applyFont="1" applyFill="1" applyBorder="1" applyAlignment="1">
      <alignment horizontal="right" vertical="center"/>
    </xf>
    <xf numFmtId="166" fontId="14" fillId="11" borderId="46" xfId="31" applyNumberFormat="1" applyFont="1" applyFill="1" applyBorder="1" applyAlignment="1">
      <alignment vertical="center"/>
    </xf>
    <xf numFmtId="0" fontId="14" fillId="11" borderId="56" xfId="14" quotePrefix="1" applyFont="1" applyFill="1" applyBorder="1" applyAlignment="1">
      <alignment horizontal="center" vertical="center"/>
    </xf>
    <xf numFmtId="0" fontId="14" fillId="11" borderId="3" xfId="14" quotePrefix="1" applyFont="1" applyFill="1" applyBorder="1" applyAlignment="1">
      <alignment horizontal="right" vertical="center"/>
    </xf>
    <xf numFmtId="0" fontId="14" fillId="11" borderId="3" xfId="14" quotePrefix="1" applyFont="1" applyFill="1" applyBorder="1" applyAlignment="1">
      <alignment horizontal="center" vertical="center"/>
    </xf>
    <xf numFmtId="0" fontId="14" fillId="11" borderId="57" xfId="14" quotePrefix="1" applyFont="1" applyFill="1" applyBorder="1" applyAlignment="1">
      <alignment horizontal="center" vertical="center"/>
    </xf>
    <xf numFmtId="0" fontId="14" fillId="6" borderId="64" xfId="0" quotePrefix="1" applyFont="1" applyFill="1" applyBorder="1" applyAlignment="1">
      <alignment horizontal="center" vertical="center"/>
    </xf>
    <xf numFmtId="0" fontId="17" fillId="11" borderId="103" xfId="31" applyFont="1" applyFill="1" applyBorder="1" applyAlignment="1">
      <alignment vertical="center" wrapText="1"/>
    </xf>
    <xf numFmtId="0" fontId="17" fillId="11" borderId="56" xfId="31" applyFont="1" applyFill="1" applyBorder="1" applyAlignment="1">
      <alignment horizontal="left" vertical="center" wrapText="1"/>
    </xf>
    <xf numFmtId="0" fontId="17" fillId="11" borderId="3" xfId="31" applyFont="1" applyFill="1" applyBorder="1" applyAlignment="1">
      <alignment horizontal="right" vertical="center" wrapText="1"/>
    </xf>
    <xf numFmtId="0" fontId="17" fillId="11" borderId="3" xfId="31" quotePrefix="1" applyFont="1" applyFill="1" applyBorder="1" applyAlignment="1">
      <alignment horizontal="right" vertical="center" wrapText="1"/>
    </xf>
    <xf numFmtId="0" fontId="17" fillId="11" borderId="57" xfId="31" applyFont="1" applyFill="1" applyBorder="1" applyAlignment="1">
      <alignment horizontal="right" vertical="center" wrapText="1"/>
    </xf>
    <xf numFmtId="166" fontId="14" fillId="8" borderId="4" xfId="0" applyNumberFormat="1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166" fontId="13" fillId="0" borderId="60" xfId="0" applyNumberFormat="1" applyFont="1" applyBorder="1" applyAlignment="1">
      <alignment horizontal="left" vertical="center"/>
    </xf>
    <xf numFmtId="0" fontId="3" fillId="0" borderId="0" xfId="31"/>
    <xf numFmtId="0" fontId="13" fillId="0" borderId="95" xfId="31" applyFont="1" applyBorder="1" applyAlignment="1">
      <alignment vertical="center" wrapText="1"/>
    </xf>
    <xf numFmtId="0" fontId="30" fillId="0" borderId="0" xfId="31" applyFont="1" applyAlignment="1">
      <alignment vertical="center"/>
    </xf>
    <xf numFmtId="0" fontId="13" fillId="0" borderId="95" xfId="31" applyFont="1" applyBorder="1" applyAlignment="1">
      <alignment vertical="center"/>
    </xf>
    <xf numFmtId="0" fontId="13" fillId="0" borderId="116" xfId="31" applyFont="1" applyBorder="1" applyAlignment="1">
      <alignment vertical="center"/>
    </xf>
    <xf numFmtId="0" fontId="35" fillId="0" borderId="0" xfId="31" applyFont="1"/>
    <xf numFmtId="0" fontId="3" fillId="0" borderId="0" xfId="31" applyAlignment="1">
      <alignment vertical="center"/>
    </xf>
    <xf numFmtId="0" fontId="14" fillId="11" borderId="18" xfId="31" quotePrefix="1" applyFont="1" applyFill="1" applyBorder="1" applyAlignment="1">
      <alignment horizontal="center" vertical="center"/>
    </xf>
    <xf numFmtId="0" fontId="14" fillId="11" borderId="103" xfId="31" applyFont="1" applyFill="1" applyBorder="1" applyAlignment="1">
      <alignment vertical="center" wrapText="1"/>
    </xf>
    <xf numFmtId="166" fontId="14" fillId="11" borderId="23" xfId="31" applyNumberFormat="1" applyFont="1" applyFill="1" applyBorder="1" applyAlignment="1">
      <alignment horizontal="right" vertical="center"/>
    </xf>
    <xf numFmtId="0" fontId="13" fillId="0" borderId="36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14" fillId="13" borderId="3" xfId="0" quotePrefix="1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 wrapText="1"/>
    </xf>
    <xf numFmtId="0" fontId="30" fillId="14" borderId="57" xfId="0" applyFont="1" applyFill="1" applyBorder="1" applyAlignment="1">
      <alignment horizontal="center" vertical="center" wrapText="1"/>
    </xf>
    <xf numFmtId="0" fontId="30" fillId="14" borderId="99" xfId="0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 textRotation="90" wrapText="1"/>
    </xf>
    <xf numFmtId="0" fontId="30" fillId="14" borderId="56" xfId="0" applyFont="1" applyFill="1" applyBorder="1" applyAlignment="1">
      <alignment horizontal="center" vertical="center"/>
    </xf>
    <xf numFmtId="49" fontId="30" fillId="14" borderId="3" xfId="0" applyNumberFormat="1" applyFont="1" applyFill="1" applyBorder="1" applyAlignment="1">
      <alignment horizontal="center" vertical="center" wrapText="1"/>
    </xf>
    <xf numFmtId="166" fontId="30" fillId="14" borderId="17" xfId="0" applyNumberFormat="1" applyFont="1" applyFill="1" applyBorder="1" applyAlignment="1">
      <alignment horizontal="center" vertical="center"/>
    </xf>
    <xf numFmtId="0" fontId="30" fillId="14" borderId="17" xfId="0" applyFont="1" applyFill="1" applyBorder="1" applyAlignment="1">
      <alignment horizontal="center" vertical="center"/>
    </xf>
    <xf numFmtId="0" fontId="30" fillId="14" borderId="4" xfId="0" applyFont="1" applyFill="1" applyBorder="1" applyAlignment="1">
      <alignment horizontal="center" vertical="center"/>
    </xf>
    <xf numFmtId="166" fontId="30" fillId="14" borderId="4" xfId="0" applyNumberFormat="1" applyFont="1" applyFill="1" applyBorder="1" applyAlignment="1">
      <alignment horizontal="center" vertical="center"/>
    </xf>
    <xf numFmtId="0" fontId="30" fillId="14" borderId="49" xfId="0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6" fillId="14" borderId="3" xfId="31" applyFont="1" applyFill="1" applyBorder="1" applyAlignment="1">
      <alignment horizontal="center" vertical="center" wrapText="1"/>
    </xf>
    <xf numFmtId="0" fontId="36" fillId="14" borderId="3" xfId="31" applyFont="1" applyFill="1" applyBorder="1" applyAlignment="1">
      <alignment horizontal="center" vertical="center"/>
    </xf>
    <xf numFmtId="0" fontId="36" fillId="14" borderId="57" xfId="14" applyFont="1" applyFill="1" applyBorder="1" applyAlignment="1">
      <alignment horizontal="center" vertical="center" wrapText="1"/>
    </xf>
    <xf numFmtId="0" fontId="30" fillId="14" borderId="57" xfId="0" applyFont="1" applyFill="1" applyBorder="1" applyAlignment="1">
      <alignment horizontal="center" vertical="center"/>
    </xf>
    <xf numFmtId="166" fontId="30" fillId="14" borderId="3" xfId="14" applyNumberFormat="1" applyFont="1" applyFill="1" applyBorder="1" applyAlignment="1">
      <alignment horizontal="right" vertical="center"/>
    </xf>
    <xf numFmtId="0" fontId="30" fillId="14" borderId="3" xfId="14" applyFont="1" applyFill="1" applyBorder="1" applyAlignment="1">
      <alignment horizontal="right" vertical="center"/>
    </xf>
    <xf numFmtId="0" fontId="30" fillId="14" borderId="3" xfId="14" applyFont="1" applyFill="1" applyBorder="1" applyAlignment="1">
      <alignment vertical="center"/>
    </xf>
    <xf numFmtId="0" fontId="30" fillId="14" borderId="57" xfId="14" applyFont="1" applyFill="1" applyBorder="1" applyAlignment="1">
      <alignment vertical="center"/>
    </xf>
    <xf numFmtId="0" fontId="30" fillId="14" borderId="57" xfId="14" applyFont="1" applyFill="1" applyBorder="1" applyAlignment="1">
      <alignment horizontal="right" vertical="center"/>
    </xf>
    <xf numFmtId="0" fontId="30" fillId="14" borderId="11" xfId="8" applyFont="1" applyFill="1" applyBorder="1" applyAlignment="1">
      <alignment horizontal="center" vertical="center"/>
    </xf>
    <xf numFmtId="0" fontId="30" fillId="14" borderId="3" xfId="8" applyFont="1" applyFill="1" applyBorder="1" applyAlignment="1">
      <alignment horizontal="center" vertical="center"/>
    </xf>
    <xf numFmtId="0" fontId="30" fillId="14" borderId="99" xfId="0" applyFont="1" applyFill="1" applyBorder="1" applyAlignment="1">
      <alignment horizontal="left" vertical="center"/>
    </xf>
    <xf numFmtId="166" fontId="30" fillId="14" borderId="3" xfId="8" applyNumberFormat="1" applyFont="1" applyFill="1" applyBorder="1" applyAlignment="1">
      <alignment horizontal="right" vertical="center"/>
    </xf>
    <xf numFmtId="0" fontId="30" fillId="14" borderId="3" xfId="8" applyFont="1" applyFill="1" applyBorder="1" applyAlignment="1">
      <alignment horizontal="right" vertical="center"/>
    </xf>
    <xf numFmtId="166" fontId="30" fillId="14" borderId="18" xfId="8" applyNumberFormat="1" applyFont="1" applyFill="1" applyBorder="1" applyAlignment="1">
      <alignment horizontal="center" vertical="center"/>
    </xf>
    <xf numFmtId="0" fontId="30" fillId="14" borderId="18" xfId="8" applyFont="1" applyFill="1" applyBorder="1" applyAlignment="1">
      <alignment horizontal="center" vertical="center"/>
    </xf>
    <xf numFmtId="0" fontId="30" fillId="14" borderId="107" xfId="8" applyFont="1" applyFill="1" applyBorder="1" applyAlignment="1">
      <alignment horizontal="center" vertical="center"/>
    </xf>
    <xf numFmtId="0" fontId="30" fillId="14" borderId="56" xfId="31" applyFont="1" applyFill="1" applyBorder="1" applyAlignment="1">
      <alignment horizontal="left" vertical="center" wrapText="1"/>
    </xf>
    <xf numFmtId="0" fontId="30" fillId="14" borderId="57" xfId="31" applyFont="1" applyFill="1" applyBorder="1" applyAlignment="1">
      <alignment horizontal="center" vertical="center"/>
    </xf>
    <xf numFmtId="0" fontId="30" fillId="14" borderId="11" xfId="31" applyFont="1" applyFill="1" applyBorder="1" applyAlignment="1">
      <alignment horizontal="right" vertical="center"/>
    </xf>
    <xf numFmtId="2" fontId="30" fillId="14" borderId="3" xfId="31" applyNumberFormat="1" applyFont="1" applyFill="1" applyBorder="1" applyAlignment="1">
      <alignment horizontal="right" vertical="center" wrapText="1"/>
    </xf>
    <xf numFmtId="0" fontId="30" fillId="14" borderId="3" xfId="31" applyFont="1" applyFill="1" applyBorder="1" applyAlignment="1">
      <alignment horizontal="right" vertical="center"/>
    </xf>
    <xf numFmtId="0" fontId="30" fillId="14" borderId="3" xfId="31" applyFont="1" applyFill="1" applyBorder="1" applyAlignment="1">
      <alignment horizontal="right" vertical="center" wrapText="1"/>
    </xf>
    <xf numFmtId="0" fontId="30" fillId="14" borderId="11" xfId="31" applyFont="1" applyFill="1" applyBorder="1" applyAlignment="1">
      <alignment horizontal="right" vertical="center" wrapText="1"/>
    </xf>
    <xf numFmtId="2" fontId="30" fillId="14" borderId="57" xfId="31" applyNumberFormat="1" applyFont="1" applyFill="1" applyBorder="1" applyAlignment="1">
      <alignment horizontal="right" vertical="center" wrapText="1"/>
    </xf>
    <xf numFmtId="168" fontId="30" fillId="14" borderId="18" xfId="31" applyNumberFormat="1" applyFont="1" applyFill="1" applyBorder="1" applyAlignment="1">
      <alignment horizontal="center" vertical="center" wrapText="1"/>
    </xf>
    <xf numFmtId="168" fontId="30" fillId="14" borderId="17" xfId="31" applyNumberFormat="1" applyFont="1" applyFill="1" applyBorder="1" applyAlignment="1">
      <alignment horizontal="center" vertical="center" wrapText="1"/>
    </xf>
    <xf numFmtId="168" fontId="30" fillId="14" borderId="9" xfId="31" applyNumberFormat="1" applyFont="1" applyFill="1" applyBorder="1" applyAlignment="1">
      <alignment horizontal="center" vertical="center" wrapText="1"/>
    </xf>
    <xf numFmtId="168" fontId="30" fillId="14" borderId="108" xfId="31" applyNumberFormat="1" applyFont="1" applyFill="1" applyBorder="1" applyAlignment="1">
      <alignment horizontal="center" vertical="center" wrapText="1"/>
    </xf>
    <xf numFmtId="166" fontId="30" fillId="14" borderId="3" xfId="31" applyNumberFormat="1" applyFont="1" applyFill="1" applyBorder="1" applyAlignment="1">
      <alignment horizontal="right" vertical="center"/>
    </xf>
    <xf numFmtId="0" fontId="30" fillId="14" borderId="9" xfId="31" applyFont="1" applyFill="1" applyBorder="1" applyAlignment="1">
      <alignment horizontal="right" vertical="center"/>
    </xf>
    <xf numFmtId="0" fontId="30" fillId="14" borderId="18" xfId="31" applyFont="1" applyFill="1" applyBorder="1" applyAlignment="1">
      <alignment horizontal="right" vertical="center"/>
    </xf>
    <xf numFmtId="0" fontId="30" fillId="14" borderId="8" xfId="31" applyFont="1" applyFill="1" applyBorder="1" applyAlignment="1">
      <alignment horizontal="right" vertical="center"/>
    </xf>
    <xf numFmtId="166" fontId="30" fillId="14" borderId="57" xfId="31" applyNumberFormat="1" applyFont="1" applyFill="1" applyBorder="1" applyAlignment="1">
      <alignment horizontal="right" vertical="center" wrapText="1"/>
    </xf>
    <xf numFmtId="0" fontId="30" fillId="14" borderId="3" xfId="0" applyFont="1" applyFill="1" applyBorder="1" applyAlignment="1">
      <alignment horizontal="center" textRotation="90" wrapText="1"/>
    </xf>
    <xf numFmtId="0" fontId="30" fillId="14" borderId="56" xfId="0" applyFont="1" applyFill="1" applyBorder="1" applyAlignment="1">
      <alignment horizontal="left" vertical="center" wrapText="1"/>
    </xf>
    <xf numFmtId="0" fontId="30" fillId="14" borderId="3" xfId="0" applyFont="1" applyFill="1" applyBorder="1" applyAlignment="1">
      <alignment horizontal="left" vertical="center"/>
    </xf>
    <xf numFmtId="166" fontId="30" fillId="14" borderId="3" xfId="0" applyNumberFormat="1" applyFont="1" applyFill="1" applyBorder="1" applyAlignment="1">
      <alignment horizontal="right" vertical="center"/>
    </xf>
    <xf numFmtId="0" fontId="30" fillId="14" borderId="3" xfId="0" applyFont="1" applyFill="1" applyBorder="1" applyAlignment="1">
      <alignment horizontal="right" vertical="center"/>
    </xf>
    <xf numFmtId="165" fontId="30" fillId="14" borderId="3" xfId="20" applyFont="1" applyFill="1" applyBorder="1" applyAlignment="1">
      <alignment horizontal="center" vertical="center" wrapText="1"/>
    </xf>
    <xf numFmtId="165" fontId="30" fillId="14" borderId="11" xfId="20" applyFont="1" applyFill="1" applyBorder="1" applyAlignment="1">
      <alignment horizontal="center" vertical="center" wrapText="1"/>
    </xf>
    <xf numFmtId="165" fontId="30" fillId="14" borderId="11" xfId="21" applyFont="1" applyFill="1" applyBorder="1" applyAlignment="1">
      <alignment horizontal="center" vertical="center" wrapText="1"/>
    </xf>
    <xf numFmtId="165" fontId="30" fillId="14" borderId="3" xfId="21" applyFont="1" applyFill="1" applyBorder="1" applyAlignment="1">
      <alignment horizontal="center" vertical="center" wrapText="1"/>
    </xf>
    <xf numFmtId="165" fontId="30" fillId="14" borderId="18" xfId="21" applyFont="1" applyFill="1" applyBorder="1" applyAlignment="1">
      <alignment horizontal="center" vertical="center"/>
    </xf>
    <xf numFmtId="166" fontId="30" fillId="14" borderId="3" xfId="21" applyNumberFormat="1" applyFont="1" applyFill="1" applyBorder="1" applyAlignment="1">
      <alignment horizontal="center" vertical="center"/>
    </xf>
    <xf numFmtId="165" fontId="30" fillId="14" borderId="5" xfId="21" applyFont="1" applyFill="1" applyBorder="1" applyAlignment="1">
      <alignment horizontal="center" vertical="center" wrapText="1"/>
    </xf>
    <xf numFmtId="165" fontId="30" fillId="14" borderId="57" xfId="21" applyFont="1" applyFill="1" applyBorder="1" applyAlignment="1">
      <alignment horizontal="center" vertical="center" wrapText="1"/>
    </xf>
    <xf numFmtId="165" fontId="30" fillId="14" borderId="56" xfId="22" applyFont="1" applyFill="1" applyBorder="1" applyAlignment="1">
      <alignment horizontal="center" vertical="center" wrapText="1"/>
    </xf>
    <xf numFmtId="165" fontId="30" fillId="14" borderId="56" xfId="22" applyFont="1" applyFill="1" applyBorder="1" applyAlignment="1">
      <alignment horizontal="center" vertical="center"/>
    </xf>
    <xf numFmtId="166" fontId="30" fillId="14" borderId="3" xfId="22" applyNumberFormat="1" applyFont="1" applyFill="1" applyBorder="1" applyAlignment="1">
      <alignment horizontal="center" vertical="center" textRotation="90" wrapText="1"/>
    </xf>
    <xf numFmtId="167" fontId="30" fillId="14" borderId="1" xfId="22" applyNumberFormat="1" applyFont="1" applyFill="1" applyBorder="1" applyAlignment="1">
      <alignment horizontal="center" vertical="center" wrapText="1"/>
    </xf>
    <xf numFmtId="167" fontId="30" fillId="14" borderId="3" xfId="22" applyNumberFormat="1" applyFont="1" applyFill="1" applyBorder="1" applyAlignment="1">
      <alignment horizontal="center" vertical="center" wrapText="1"/>
    </xf>
    <xf numFmtId="167" fontId="30" fillId="14" borderId="57" xfId="22" applyNumberFormat="1" applyFont="1" applyFill="1" applyBorder="1" applyAlignment="1">
      <alignment horizontal="center" vertical="center" wrapText="1"/>
    </xf>
    <xf numFmtId="166" fontId="30" fillId="14" borderId="17" xfId="23" applyNumberFormat="1" applyFont="1" applyFill="1" applyBorder="1" applyAlignment="1">
      <alignment horizontal="center" vertical="center" wrapText="1"/>
    </xf>
    <xf numFmtId="165" fontId="30" fillId="14" borderId="27" xfId="23" applyFont="1" applyFill="1" applyBorder="1" applyAlignment="1">
      <alignment horizontal="center" vertical="center" wrapText="1"/>
    </xf>
    <xf numFmtId="165" fontId="30" fillId="14" borderId="110" xfId="23" applyFont="1" applyFill="1" applyBorder="1" applyAlignment="1">
      <alignment horizontal="center" vertical="center" wrapText="1"/>
    </xf>
    <xf numFmtId="0" fontId="30" fillId="14" borderId="66" xfId="0" applyFont="1" applyFill="1" applyBorder="1" applyAlignment="1">
      <alignment horizontal="right" vertical="center"/>
    </xf>
    <xf numFmtId="166" fontId="30" fillId="14" borderId="17" xfId="24" applyNumberFormat="1" applyFont="1" applyFill="1" applyBorder="1" applyAlignment="1">
      <alignment horizontal="center" vertical="center"/>
    </xf>
    <xf numFmtId="2" fontId="30" fillId="14" borderId="4" xfId="24" applyNumberFormat="1" applyFont="1" applyFill="1" applyBorder="1" applyAlignment="1">
      <alignment horizontal="center" vertical="center"/>
    </xf>
    <xf numFmtId="166" fontId="30" fillId="14" borderId="27" xfId="24" applyNumberFormat="1" applyFont="1" applyFill="1" applyBorder="1" applyAlignment="1">
      <alignment horizontal="center" vertical="center"/>
    </xf>
    <xf numFmtId="2" fontId="30" fillId="14" borderId="14" xfId="24" applyNumberFormat="1" applyFont="1" applyFill="1" applyBorder="1" applyAlignment="1">
      <alignment horizontal="center" vertical="center"/>
    </xf>
    <xf numFmtId="2" fontId="30" fillId="14" borderId="58" xfId="24" applyNumberFormat="1" applyFont="1" applyFill="1" applyBorder="1" applyAlignment="1">
      <alignment horizontal="center" vertical="center"/>
    </xf>
    <xf numFmtId="2" fontId="30" fillId="14" borderId="49" xfId="24" applyNumberFormat="1" applyFont="1" applyFill="1" applyBorder="1" applyAlignment="1">
      <alignment horizontal="center" vertical="center"/>
    </xf>
    <xf numFmtId="166" fontId="30" fillId="14" borderId="27" xfId="8" applyNumberFormat="1" applyFont="1" applyFill="1" applyBorder="1" applyAlignment="1">
      <alignment horizontal="center" vertical="center" wrapText="1"/>
    </xf>
    <xf numFmtId="166" fontId="30" fillId="14" borderId="3" xfId="31" applyNumberFormat="1" applyFont="1" applyFill="1" applyBorder="1" applyAlignment="1">
      <alignment horizontal="right" vertical="center" wrapText="1"/>
    </xf>
    <xf numFmtId="166" fontId="13" fillId="0" borderId="0" xfId="23" applyNumberFormat="1" applyFont="1" applyAlignment="1">
      <alignment horizontal="right" vertical="center"/>
    </xf>
    <xf numFmtId="0" fontId="13" fillId="0" borderId="60" xfId="8" applyFont="1" applyBorder="1" applyAlignment="1">
      <alignment horizontal="left" vertical="center"/>
    </xf>
    <xf numFmtId="17" fontId="13" fillId="0" borderId="137" xfId="0" applyNumberFormat="1" applyFont="1" applyBorder="1" applyAlignment="1">
      <alignment horizontal="left" vertical="center"/>
    </xf>
    <xf numFmtId="17" fontId="13" fillId="0" borderId="138" xfId="0" applyNumberFormat="1" applyFont="1" applyBorder="1" applyAlignment="1">
      <alignment horizontal="left" vertical="center"/>
    </xf>
    <xf numFmtId="17" fontId="13" fillId="0" borderId="70" xfId="0" applyNumberFormat="1" applyFont="1" applyBorder="1" applyAlignment="1">
      <alignment horizontal="left" vertical="center"/>
    </xf>
    <xf numFmtId="166" fontId="13" fillId="0" borderId="29" xfId="0" applyNumberFormat="1" applyFont="1" applyBorder="1" applyAlignment="1">
      <alignment horizontal="right" vertical="center"/>
    </xf>
    <xf numFmtId="0" fontId="24" fillId="0" borderId="0" xfId="14" applyFont="1" applyAlignment="1">
      <alignment vertical="center"/>
    </xf>
    <xf numFmtId="0" fontId="24" fillId="0" borderId="0" xfId="31" applyFont="1" applyAlignment="1">
      <alignment vertical="center"/>
    </xf>
    <xf numFmtId="0" fontId="30" fillId="14" borderId="93" xfId="0" applyFont="1" applyFill="1" applyBorder="1" applyAlignment="1">
      <alignment horizontal="right" vertical="center"/>
    </xf>
    <xf numFmtId="166" fontId="13" fillId="0" borderId="84" xfId="0" applyNumberFormat="1" applyFont="1" applyBorder="1" applyAlignment="1">
      <alignment vertical="center"/>
    </xf>
    <xf numFmtId="0" fontId="30" fillId="14" borderId="11" xfId="0" applyFont="1" applyFill="1" applyBorder="1" applyAlignment="1">
      <alignment horizontal="right" vertical="center"/>
    </xf>
    <xf numFmtId="166" fontId="13" fillId="0" borderId="33" xfId="0" applyNumberFormat="1" applyFont="1" applyBorder="1" applyAlignment="1">
      <alignment vertical="center"/>
    </xf>
    <xf numFmtId="166" fontId="13" fillId="0" borderId="141" xfId="0" applyNumberFormat="1" applyFont="1" applyBorder="1" applyAlignment="1">
      <alignment vertical="center"/>
    </xf>
    <xf numFmtId="166" fontId="14" fillId="6" borderId="14" xfId="0" applyNumberFormat="1" applyFont="1" applyFill="1" applyBorder="1" applyAlignment="1">
      <alignment horizontal="right" vertical="center"/>
    </xf>
    <xf numFmtId="0" fontId="14" fillId="0" borderId="64" xfId="0" applyFont="1" applyBorder="1" applyAlignment="1">
      <alignment horizontal="left" vertical="center"/>
    </xf>
    <xf numFmtId="166" fontId="13" fillId="0" borderId="28" xfId="31" applyNumberFormat="1" applyFont="1" applyBorder="1" applyAlignment="1">
      <alignment vertical="center"/>
    </xf>
    <xf numFmtId="166" fontId="13" fillId="0" borderId="34" xfId="31" applyNumberFormat="1" applyFont="1" applyBorder="1" applyAlignment="1">
      <alignment vertical="center"/>
    </xf>
    <xf numFmtId="166" fontId="13" fillId="0" borderId="78" xfId="31" applyNumberFormat="1" applyFont="1" applyBorder="1" applyAlignment="1">
      <alignment vertical="center"/>
    </xf>
    <xf numFmtId="166" fontId="13" fillId="0" borderId="84" xfId="31" applyNumberFormat="1" applyFont="1" applyBorder="1" applyAlignment="1">
      <alignment vertical="center"/>
    </xf>
    <xf numFmtId="166" fontId="13" fillId="0" borderId="33" xfId="31" applyNumberFormat="1" applyFont="1" applyBorder="1" applyAlignment="1">
      <alignment vertical="center"/>
    </xf>
    <xf numFmtId="0" fontId="13" fillId="0" borderId="96" xfId="31" applyFont="1" applyBorder="1" applyAlignment="1">
      <alignment horizontal="left" vertical="center"/>
    </xf>
    <xf numFmtId="165" fontId="24" fillId="0" borderId="0" xfId="23" applyFont="1"/>
    <xf numFmtId="0" fontId="14" fillId="11" borderId="104" xfId="31" quotePrefix="1" applyFont="1" applyFill="1" applyBorder="1" applyAlignment="1">
      <alignment horizontal="left" vertical="center"/>
    </xf>
    <xf numFmtId="0" fontId="14" fillId="11" borderId="6" xfId="31" quotePrefix="1" applyFont="1" applyFill="1" applyBorder="1" applyAlignment="1">
      <alignment horizontal="left" vertical="center"/>
    </xf>
    <xf numFmtId="0" fontId="14" fillId="11" borderId="6" xfId="31" quotePrefix="1" applyFont="1" applyFill="1" applyBorder="1" applyAlignment="1">
      <alignment horizontal="center" vertical="center"/>
    </xf>
    <xf numFmtId="0" fontId="14" fillId="11" borderId="16" xfId="31" quotePrefix="1" applyFont="1" applyFill="1" applyBorder="1" applyAlignment="1">
      <alignment horizontal="right" vertical="center"/>
    </xf>
    <xf numFmtId="166" fontId="14" fillId="11" borderId="23" xfId="31" quotePrefix="1" applyNumberFormat="1" applyFont="1" applyFill="1" applyBorder="1" applyAlignment="1">
      <alignment horizontal="right" vertical="center"/>
    </xf>
    <xf numFmtId="0" fontId="30" fillId="14" borderId="56" xfId="0" applyFont="1" applyFill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14" fillId="6" borderId="93" xfId="0" quotePrefix="1" applyFont="1" applyFill="1" applyBorder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9" borderId="77" xfId="0" applyNumberFormat="1" applyFont="1" applyFill="1" applyBorder="1" applyAlignment="1">
      <alignment vertical="center"/>
    </xf>
    <xf numFmtId="2" fontId="25" fillId="9" borderId="68" xfId="0" applyNumberFormat="1" applyFont="1" applyFill="1" applyBorder="1" applyAlignment="1">
      <alignment vertical="center"/>
    </xf>
    <xf numFmtId="0" fontId="28" fillId="0" borderId="0" xfId="8" applyFont="1" applyAlignment="1">
      <alignment vertical="center"/>
    </xf>
    <xf numFmtId="0" fontId="14" fillId="0" borderId="0" xfId="0" applyFont="1" applyAlignment="1">
      <alignment horizontal="center" vertical="center"/>
    </xf>
    <xf numFmtId="166" fontId="37" fillId="0" borderId="0" xfId="20" applyNumberFormat="1" applyFont="1" applyAlignment="1">
      <alignment horizontal="center" vertical="center"/>
    </xf>
    <xf numFmtId="165" fontId="37" fillId="0" borderId="0" xfId="20" applyFont="1" applyAlignment="1">
      <alignment horizontal="center" vertical="center"/>
    </xf>
    <xf numFmtId="166" fontId="13" fillId="0" borderId="85" xfId="8" applyNumberFormat="1" applyFont="1" applyBorder="1" applyAlignment="1">
      <alignment horizontal="right" vertical="center"/>
    </xf>
    <xf numFmtId="166" fontId="13" fillId="0" borderId="59" xfId="8" applyNumberFormat="1" applyFont="1" applyBorder="1" applyAlignment="1">
      <alignment horizontal="right" vertical="center"/>
    </xf>
    <xf numFmtId="2" fontId="14" fillId="0" borderId="0" xfId="31" applyNumberFormat="1" applyFont="1" applyAlignment="1">
      <alignment vertical="center"/>
    </xf>
    <xf numFmtId="166" fontId="13" fillId="0" borderId="128" xfId="0" applyNumberFormat="1" applyFont="1" applyBorder="1" applyAlignment="1">
      <alignment horizontal="left" vertical="center"/>
    </xf>
    <xf numFmtId="165" fontId="13" fillId="0" borderId="88" xfId="0" applyNumberFormat="1" applyFont="1" applyBorder="1" applyAlignment="1">
      <alignment horizontal="right" vertical="center"/>
    </xf>
    <xf numFmtId="2" fontId="13" fillId="0" borderId="89" xfId="0" applyNumberFormat="1" applyFont="1" applyBorder="1" applyAlignment="1">
      <alignment horizontal="right" vertical="center"/>
    </xf>
    <xf numFmtId="171" fontId="13" fillId="0" borderId="136" xfId="0" applyNumberFormat="1" applyFont="1" applyBorder="1" applyAlignment="1">
      <alignment horizontal="right" vertical="center"/>
    </xf>
    <xf numFmtId="2" fontId="13" fillId="0" borderId="114" xfId="0" applyNumberFormat="1" applyFont="1" applyBorder="1" applyAlignment="1">
      <alignment horizontal="right" vertical="center"/>
    </xf>
    <xf numFmtId="171" fontId="13" fillId="0" borderId="89" xfId="0" applyNumberFormat="1" applyFont="1" applyBorder="1" applyAlignment="1">
      <alignment horizontal="right" vertical="center"/>
    </xf>
    <xf numFmtId="166" fontId="14" fillId="0" borderId="88" xfId="0" applyNumberFormat="1" applyFont="1" applyBorder="1" applyAlignment="1">
      <alignment horizontal="right" vertical="center"/>
    </xf>
    <xf numFmtId="171" fontId="13" fillId="0" borderId="61" xfId="0" applyNumberFormat="1" applyFont="1" applyBorder="1" applyAlignment="1">
      <alignment horizontal="right" vertical="center"/>
    </xf>
    <xf numFmtId="171" fontId="13" fillId="0" borderId="118" xfId="0" applyNumberFormat="1" applyFont="1" applyBorder="1" applyAlignment="1">
      <alignment horizontal="right" vertical="center"/>
    </xf>
    <xf numFmtId="0" fontId="13" fillId="0" borderId="97" xfId="0" applyFont="1" applyBorder="1" applyAlignment="1">
      <alignment vertical="center"/>
    </xf>
    <xf numFmtId="166" fontId="13" fillId="0" borderId="128" xfId="0" applyNumberFormat="1" applyFont="1" applyBorder="1" applyAlignment="1">
      <alignment vertical="center"/>
    </xf>
    <xf numFmtId="166" fontId="19" fillId="0" borderId="29" xfId="32" applyNumberFormat="1" applyFont="1" applyBorder="1" applyAlignment="1">
      <alignment horizontal="right" vertical="center"/>
    </xf>
    <xf numFmtId="10" fontId="19" fillId="0" borderId="31" xfId="32" applyNumberFormat="1" applyFont="1" applyBorder="1" applyAlignment="1">
      <alignment horizontal="right" vertical="center"/>
    </xf>
    <xf numFmtId="166" fontId="17" fillId="0" borderId="29" xfId="16" applyNumberFormat="1" applyFont="1" applyBorder="1" applyAlignment="1">
      <alignment horizontal="right" vertical="center"/>
    </xf>
    <xf numFmtId="173" fontId="19" fillId="0" borderId="112" xfId="32" applyNumberFormat="1" applyFont="1" applyBorder="1" applyAlignment="1">
      <alignment horizontal="right" vertical="center"/>
    </xf>
    <xf numFmtId="166" fontId="19" fillId="0" borderId="0" xfId="16" applyNumberFormat="1" applyFont="1" applyAlignment="1">
      <alignment vertical="center"/>
    </xf>
    <xf numFmtId="0" fontId="13" fillId="0" borderId="101" xfId="8" applyFont="1" applyBorder="1" applyAlignment="1">
      <alignment vertical="center"/>
    </xf>
    <xf numFmtId="0" fontId="13" fillId="0" borderId="97" xfId="8" applyFont="1" applyBorder="1" applyAlignment="1">
      <alignment vertical="center"/>
    </xf>
    <xf numFmtId="166" fontId="14" fillId="0" borderId="65" xfId="31" applyNumberFormat="1" applyFont="1" applyBorder="1" applyAlignment="1">
      <alignment horizontal="right" vertical="center"/>
    </xf>
    <xf numFmtId="166" fontId="14" fillId="0" borderId="61" xfId="31" applyNumberFormat="1" applyFont="1" applyBorder="1" applyAlignment="1">
      <alignment horizontal="right" vertical="center"/>
    </xf>
    <xf numFmtId="166" fontId="14" fillId="0" borderId="68" xfId="31" applyNumberFormat="1" applyFont="1" applyBorder="1" applyAlignment="1">
      <alignment horizontal="right" vertical="center"/>
    </xf>
    <xf numFmtId="166" fontId="14" fillId="11" borderId="57" xfId="31" applyNumberFormat="1" applyFont="1" applyFill="1" applyBorder="1" applyAlignment="1">
      <alignment vertical="center"/>
    </xf>
    <xf numFmtId="166" fontId="14" fillId="11" borderId="93" xfId="31" applyNumberFormat="1" applyFont="1" applyFill="1" applyBorder="1" applyAlignment="1">
      <alignment vertical="center"/>
    </xf>
    <xf numFmtId="166" fontId="14" fillId="11" borderId="58" xfId="31" applyNumberFormat="1" applyFont="1" applyFill="1" applyBorder="1" applyAlignment="1">
      <alignment horizontal="right" vertical="center"/>
    </xf>
    <xf numFmtId="166" fontId="14" fillId="11" borderId="19" xfId="31" applyNumberFormat="1" applyFont="1" applyFill="1" applyBorder="1" applyAlignment="1">
      <alignment vertical="center"/>
    </xf>
    <xf numFmtId="166" fontId="14" fillId="11" borderId="105" xfId="31" applyNumberFormat="1" applyFont="1" applyFill="1" applyBorder="1" applyAlignment="1">
      <alignment horizontal="right" vertical="center"/>
    </xf>
    <xf numFmtId="168" fontId="14" fillId="0" borderId="111" xfId="31" applyNumberFormat="1" applyFont="1" applyBorder="1" applyAlignment="1">
      <alignment horizontal="right" vertical="center"/>
    </xf>
    <xf numFmtId="168" fontId="14" fillId="0" borderId="112" xfId="31" applyNumberFormat="1" applyFont="1" applyBorder="1" applyAlignment="1">
      <alignment horizontal="right" vertical="center"/>
    </xf>
    <xf numFmtId="168" fontId="14" fillId="0" borderId="61" xfId="31" applyNumberFormat="1" applyFont="1" applyBorder="1" applyAlignment="1">
      <alignment horizontal="right" vertical="center"/>
    </xf>
    <xf numFmtId="168" fontId="14" fillId="0" borderId="68" xfId="31" applyNumberFormat="1" applyFont="1" applyBorder="1" applyAlignment="1">
      <alignment horizontal="right" vertical="center"/>
    </xf>
    <xf numFmtId="168" fontId="14" fillId="0" borderId="93" xfId="31" applyNumberFormat="1" applyFont="1" applyBorder="1" applyAlignment="1">
      <alignment horizontal="right" vertical="center"/>
    </xf>
    <xf numFmtId="168" fontId="14" fillId="0" borderId="65" xfId="31" applyNumberFormat="1" applyFont="1" applyBorder="1" applyAlignment="1">
      <alignment horizontal="right" vertical="center"/>
    </xf>
    <xf numFmtId="168" fontId="14" fillId="0" borderId="71" xfId="31" applyNumberFormat="1" applyFont="1" applyBorder="1" applyAlignment="1">
      <alignment horizontal="right" vertical="center"/>
    </xf>
    <xf numFmtId="168" fontId="14" fillId="0" borderId="121" xfId="31" applyNumberFormat="1" applyFont="1" applyBorder="1" applyAlignment="1">
      <alignment horizontal="right" vertical="center"/>
    </xf>
    <xf numFmtId="168" fontId="14" fillId="11" borderId="57" xfId="31" applyNumberFormat="1" applyFont="1" applyFill="1" applyBorder="1" applyAlignment="1">
      <alignment horizontal="right" vertical="center"/>
    </xf>
    <xf numFmtId="168" fontId="14" fillId="11" borderId="102" xfId="31" applyNumberFormat="1" applyFont="1" applyFill="1" applyBorder="1" applyAlignment="1">
      <alignment horizontal="right" vertical="center"/>
    </xf>
    <xf numFmtId="166" fontId="13" fillId="0" borderId="75" xfId="0" applyNumberFormat="1" applyFont="1" applyBorder="1" applyAlignment="1">
      <alignment vertical="center"/>
    </xf>
    <xf numFmtId="166" fontId="13" fillId="0" borderId="147" xfId="0" applyNumberFormat="1" applyFont="1" applyBorder="1" applyAlignment="1">
      <alignment vertical="center"/>
    </xf>
    <xf numFmtId="166" fontId="13" fillId="0" borderId="148" xfId="0" applyNumberFormat="1" applyFont="1" applyBorder="1" applyAlignment="1">
      <alignment vertical="center"/>
    </xf>
    <xf numFmtId="166" fontId="14" fillId="6" borderId="58" xfId="0" applyNumberFormat="1" applyFont="1" applyFill="1" applyBorder="1" applyAlignment="1">
      <alignment horizontal="right" vertical="center"/>
    </xf>
    <xf numFmtId="166" fontId="14" fillId="6" borderId="93" xfId="0" applyNumberFormat="1" applyFont="1" applyFill="1" applyBorder="1" applyAlignment="1">
      <alignment horizontal="right" vertical="center"/>
    </xf>
    <xf numFmtId="166" fontId="14" fillId="6" borderId="105" xfId="0" applyNumberFormat="1" applyFont="1" applyFill="1" applyBorder="1" applyAlignment="1">
      <alignment horizontal="right" vertical="center"/>
    </xf>
    <xf numFmtId="166" fontId="3" fillId="0" borderId="144" xfId="31" applyNumberFormat="1" applyBorder="1" applyAlignment="1">
      <alignment horizontal="right" vertical="center"/>
    </xf>
    <xf numFmtId="166" fontId="3" fillId="0" borderId="149" xfId="31" applyNumberFormat="1" applyBorder="1" applyAlignment="1">
      <alignment horizontal="right" vertical="center"/>
    </xf>
    <xf numFmtId="166" fontId="3" fillId="0" borderId="106" xfId="31" applyNumberFormat="1" applyBorder="1" applyAlignment="1">
      <alignment horizontal="right" vertical="center"/>
    </xf>
    <xf numFmtId="166" fontId="3" fillId="0" borderId="145" xfId="31" applyNumberFormat="1" applyBorder="1" applyAlignment="1">
      <alignment horizontal="right" vertical="center"/>
    </xf>
    <xf numFmtId="166" fontId="3" fillId="0" borderId="150" xfId="31" applyNumberFormat="1" applyBorder="1" applyAlignment="1">
      <alignment horizontal="right" vertical="center"/>
    </xf>
    <xf numFmtId="166" fontId="3" fillId="0" borderId="147" xfId="31" applyNumberFormat="1" applyBorder="1" applyAlignment="1">
      <alignment horizontal="right" vertical="center"/>
    </xf>
    <xf numFmtId="166" fontId="3" fillId="0" borderId="146" xfId="31" applyNumberFormat="1" applyBorder="1" applyAlignment="1">
      <alignment horizontal="right" vertical="center"/>
    </xf>
    <xf numFmtId="166" fontId="3" fillId="0" borderId="151" xfId="31" applyNumberFormat="1" applyBorder="1" applyAlignment="1">
      <alignment horizontal="right" vertical="center"/>
    </xf>
    <xf numFmtId="166" fontId="3" fillId="0" borderId="49" xfId="31" applyNumberFormat="1" applyBorder="1" applyAlignment="1">
      <alignment horizontal="right" vertical="center"/>
    </xf>
    <xf numFmtId="166" fontId="13" fillId="0" borderId="75" xfId="31" applyNumberFormat="1" applyFont="1" applyBorder="1" applyAlignment="1">
      <alignment vertical="center"/>
    </xf>
    <xf numFmtId="166" fontId="13" fillId="0" borderId="147" xfId="31" applyNumberFormat="1" applyFont="1" applyBorder="1" applyAlignment="1">
      <alignment vertical="center"/>
    </xf>
    <xf numFmtId="166" fontId="3" fillId="0" borderId="0" xfId="31" applyNumberFormat="1"/>
    <xf numFmtId="166" fontId="13" fillId="0" borderId="116" xfId="8" applyNumberFormat="1" applyFont="1" applyBorder="1" applyAlignment="1">
      <alignment vertical="center"/>
    </xf>
    <xf numFmtId="166" fontId="14" fillId="11" borderId="64" xfId="8" applyNumberFormat="1" applyFont="1" applyFill="1" applyBorder="1" applyAlignment="1">
      <alignment vertical="center"/>
    </xf>
    <xf numFmtId="166" fontId="14" fillId="11" borderId="3" xfId="8" applyNumberFormat="1" applyFont="1" applyFill="1" applyBorder="1" applyAlignment="1">
      <alignment vertical="center"/>
    </xf>
    <xf numFmtId="166" fontId="14" fillId="11" borderId="57" xfId="8" applyNumberFormat="1" applyFont="1" applyFill="1" applyBorder="1" applyAlignment="1">
      <alignment vertical="center"/>
    </xf>
    <xf numFmtId="166" fontId="14" fillId="11" borderId="103" xfId="8" applyNumberFormat="1" applyFont="1" applyFill="1" applyBorder="1" applyAlignment="1">
      <alignment vertical="center"/>
    </xf>
    <xf numFmtId="166" fontId="14" fillId="11" borderId="23" xfId="8" applyNumberFormat="1" applyFont="1" applyFill="1" applyBorder="1" applyAlignment="1">
      <alignment horizontal="right" vertical="center"/>
    </xf>
    <xf numFmtId="166" fontId="14" fillId="11" borderId="102" xfId="8" applyNumberFormat="1" applyFont="1" applyFill="1" applyBorder="1" applyAlignment="1">
      <alignment horizontal="right" vertical="center"/>
    </xf>
    <xf numFmtId="166" fontId="14" fillId="11" borderId="56" xfId="8" applyNumberFormat="1" applyFont="1" applyFill="1" applyBorder="1" applyAlignment="1">
      <alignment vertical="center"/>
    </xf>
    <xf numFmtId="166" fontId="14" fillId="11" borderId="11" xfId="8" applyNumberFormat="1" applyFont="1" applyFill="1" applyBorder="1" applyAlignment="1">
      <alignment vertical="center"/>
    </xf>
    <xf numFmtId="166" fontId="13" fillId="10" borderId="96" xfId="8" applyNumberFormat="1" applyFont="1" applyFill="1" applyBorder="1" applyAlignment="1">
      <alignment vertical="center"/>
    </xf>
    <xf numFmtId="166" fontId="13" fillId="10" borderId="38" xfId="8" applyNumberFormat="1" applyFont="1" applyFill="1" applyBorder="1" applyAlignment="1">
      <alignment vertical="center"/>
    </xf>
    <xf numFmtId="166" fontId="13" fillId="10" borderId="36" xfId="8" applyNumberFormat="1" applyFont="1" applyFill="1" applyBorder="1" applyAlignment="1">
      <alignment vertical="center"/>
    </xf>
    <xf numFmtId="166" fontId="13" fillId="10" borderId="119" xfId="8" applyNumberFormat="1" applyFont="1" applyFill="1" applyBorder="1" applyAlignment="1">
      <alignment vertical="center"/>
    </xf>
    <xf numFmtId="166" fontId="14" fillId="10" borderId="91" xfId="8" applyNumberFormat="1" applyFont="1" applyFill="1" applyBorder="1" applyAlignment="1">
      <alignment vertical="center"/>
    </xf>
    <xf numFmtId="166" fontId="14" fillId="10" borderId="0" xfId="8" applyNumberFormat="1" applyFont="1" applyFill="1" applyAlignment="1">
      <alignment vertical="center"/>
    </xf>
    <xf numFmtId="0" fontId="13" fillId="0" borderId="116" xfId="31" applyFont="1" applyBorder="1"/>
    <xf numFmtId="166" fontId="14" fillId="11" borderId="56" xfId="8" applyNumberFormat="1" applyFont="1" applyFill="1" applyBorder="1" applyAlignment="1">
      <alignment horizontal="left" vertical="center"/>
    </xf>
    <xf numFmtId="166" fontId="14" fillId="11" borderId="1" xfId="8" applyNumberFormat="1" applyFont="1" applyFill="1" applyBorder="1" applyAlignment="1">
      <alignment vertical="center"/>
    </xf>
    <xf numFmtId="1" fontId="14" fillId="0" borderId="0" xfId="31" applyNumberFormat="1" applyFont="1" applyAlignment="1">
      <alignment horizontal="right" vertical="center"/>
    </xf>
    <xf numFmtId="166" fontId="34" fillId="11" borderId="56" xfId="8" applyNumberFormat="1" applyFont="1" applyFill="1" applyBorder="1" applyAlignment="1">
      <alignment horizontal="left" vertical="center"/>
    </xf>
    <xf numFmtId="166" fontId="34" fillId="11" borderId="3" xfId="8" applyNumberFormat="1" applyFont="1" applyFill="1" applyBorder="1" applyAlignment="1">
      <alignment vertical="center"/>
    </xf>
    <xf numFmtId="166" fontId="34" fillId="11" borderId="57" xfId="8" applyNumberFormat="1" applyFont="1" applyFill="1" applyBorder="1" applyAlignment="1">
      <alignment vertical="center"/>
    </xf>
    <xf numFmtId="166" fontId="34" fillId="11" borderId="56" xfId="8" applyNumberFormat="1" applyFont="1" applyFill="1" applyBorder="1" applyAlignment="1">
      <alignment vertical="center"/>
    </xf>
    <xf numFmtId="166" fontId="34" fillId="11" borderId="3" xfId="8" applyNumberFormat="1" applyFont="1" applyFill="1" applyBorder="1" applyAlignment="1">
      <alignment horizontal="right" vertical="center"/>
    </xf>
    <xf numFmtId="166" fontId="34" fillId="11" borderId="57" xfId="8" applyNumberFormat="1" applyFont="1" applyFill="1" applyBorder="1" applyAlignment="1">
      <alignment horizontal="right" vertical="center"/>
    </xf>
    <xf numFmtId="166" fontId="34" fillId="11" borderId="103" xfId="8" applyNumberFormat="1" applyFont="1" applyFill="1" applyBorder="1" applyAlignment="1">
      <alignment vertical="center"/>
    </xf>
    <xf numFmtId="166" fontId="34" fillId="11" borderId="23" xfId="8" applyNumberFormat="1" applyFont="1" applyFill="1" applyBorder="1" applyAlignment="1">
      <alignment horizontal="right" vertical="center"/>
    </xf>
    <xf numFmtId="166" fontId="34" fillId="11" borderId="102" xfId="8" applyNumberFormat="1" applyFont="1" applyFill="1" applyBorder="1" applyAlignment="1">
      <alignment horizontal="right" vertical="center"/>
    </xf>
    <xf numFmtId="166" fontId="18" fillId="0" borderId="143" xfId="8" applyNumberFormat="1" applyFont="1" applyBorder="1" applyAlignment="1">
      <alignment vertical="center"/>
    </xf>
    <xf numFmtId="166" fontId="18" fillId="0" borderId="137" xfId="8" applyNumberFormat="1" applyFont="1" applyBorder="1" applyAlignment="1">
      <alignment vertical="center"/>
    </xf>
    <xf numFmtId="166" fontId="18" fillId="0" borderId="139" xfId="8" applyNumberFormat="1" applyFont="1" applyBorder="1" applyAlignment="1">
      <alignment vertical="center"/>
    </xf>
    <xf numFmtId="166" fontId="34" fillId="0" borderId="82" xfId="8" applyNumberFormat="1" applyFont="1" applyBorder="1" applyAlignment="1">
      <alignment vertical="center"/>
    </xf>
    <xf numFmtId="166" fontId="34" fillId="11" borderId="18" xfId="8" applyNumberFormat="1" applyFont="1" applyFill="1" applyBorder="1" applyAlignment="1">
      <alignment vertical="center"/>
    </xf>
    <xf numFmtId="166" fontId="18" fillId="0" borderId="29" xfId="8" applyNumberFormat="1" applyFont="1" applyBorder="1" applyAlignment="1">
      <alignment vertical="center"/>
    </xf>
    <xf numFmtId="166" fontId="18" fillId="0" borderId="35" xfId="8" applyNumberFormat="1" applyFont="1" applyBorder="1" applyAlignment="1">
      <alignment vertical="center"/>
    </xf>
    <xf numFmtId="166" fontId="18" fillId="0" borderId="79" xfId="8" applyNumberFormat="1" applyFont="1" applyBorder="1" applyAlignment="1">
      <alignment vertical="center"/>
    </xf>
    <xf numFmtId="0" fontId="14" fillId="6" borderId="56" xfId="0" applyFont="1" applyFill="1" applyBorder="1" applyAlignment="1">
      <alignment vertical="center" wrapText="1"/>
    </xf>
    <xf numFmtId="166" fontId="14" fillId="6" borderId="1" xfId="0" applyNumberFormat="1" applyFont="1" applyFill="1" applyBorder="1" applyAlignment="1">
      <alignment vertical="center"/>
    </xf>
    <xf numFmtId="166" fontId="14" fillId="6" borderId="93" xfId="0" applyNumberFormat="1" applyFont="1" applyFill="1" applyBorder="1" applyAlignment="1">
      <alignment vertical="center"/>
    </xf>
    <xf numFmtId="0" fontId="16" fillId="0" borderId="0" xfId="0" applyFont="1" applyAlignment="1">
      <alignment horizontal="right"/>
    </xf>
    <xf numFmtId="166" fontId="14" fillId="6" borderId="1" xfId="0" applyNumberFormat="1" applyFont="1" applyFill="1" applyBorder="1" applyAlignment="1">
      <alignment horizontal="right" vertical="center"/>
    </xf>
    <xf numFmtId="166" fontId="14" fillId="6" borderId="3" xfId="8" applyNumberFormat="1" applyFont="1" applyFill="1" applyBorder="1" applyAlignment="1">
      <alignment horizontal="right" vertical="center"/>
    </xf>
    <xf numFmtId="0" fontId="14" fillId="6" borderId="103" xfId="0" applyFont="1" applyFill="1" applyBorder="1" applyAlignment="1">
      <alignment vertical="center" wrapText="1"/>
    </xf>
    <xf numFmtId="166" fontId="14" fillId="6" borderId="15" xfId="0" applyNumberFormat="1" applyFont="1" applyFill="1" applyBorder="1" applyAlignment="1">
      <alignment horizontal="right" vertical="center"/>
    </xf>
    <xf numFmtId="166" fontId="14" fillId="6" borderId="23" xfId="8" applyNumberFormat="1" applyFont="1" applyFill="1" applyBorder="1" applyAlignment="1">
      <alignment horizontal="right" vertical="center"/>
    </xf>
    <xf numFmtId="166" fontId="30" fillId="14" borderId="3" xfId="0" applyNumberFormat="1" applyFont="1" applyFill="1" applyBorder="1" applyAlignment="1">
      <alignment horizontal="center" vertical="center" wrapText="1"/>
    </xf>
    <xf numFmtId="166" fontId="30" fillId="14" borderId="57" xfId="0" applyNumberFormat="1" applyFont="1" applyFill="1" applyBorder="1" applyAlignment="1">
      <alignment horizontal="center" vertical="center" wrapText="1"/>
    </xf>
    <xf numFmtId="166" fontId="13" fillId="0" borderId="0" xfId="20" applyNumberFormat="1" applyFont="1" applyAlignment="1">
      <alignment vertical="center"/>
    </xf>
    <xf numFmtId="165" fontId="13" fillId="0" borderId="97" xfId="20" applyFont="1" applyBorder="1" applyAlignment="1">
      <alignment vertical="center"/>
    </xf>
    <xf numFmtId="166" fontId="13" fillId="0" borderId="88" xfId="20" applyNumberFormat="1" applyFont="1" applyBorder="1" applyAlignment="1">
      <alignment vertical="center"/>
    </xf>
    <xf numFmtId="166" fontId="13" fillId="0" borderId="114" xfId="20" applyNumberFormat="1" applyFont="1" applyBorder="1" applyAlignment="1">
      <alignment vertical="center"/>
    </xf>
    <xf numFmtId="166" fontId="13" fillId="0" borderId="89" xfId="20" applyNumberFormat="1" applyFont="1" applyBorder="1" applyAlignment="1">
      <alignment vertical="center"/>
    </xf>
    <xf numFmtId="2" fontId="13" fillId="0" borderId="83" xfId="20" applyNumberFormat="1" applyFont="1" applyBorder="1" applyAlignment="1">
      <alignment vertical="center"/>
    </xf>
    <xf numFmtId="171" fontId="13" fillId="0" borderId="83" xfId="20" applyNumberFormat="1" applyFont="1" applyBorder="1" applyAlignment="1">
      <alignment vertical="center"/>
    </xf>
    <xf numFmtId="166" fontId="14" fillId="0" borderId="83" xfId="20" applyNumberFormat="1" applyFont="1" applyBorder="1" applyAlignment="1">
      <alignment horizontal="right" vertical="center"/>
    </xf>
    <xf numFmtId="171" fontId="13" fillId="0" borderId="98" xfId="20" applyNumberFormat="1" applyFont="1" applyBorder="1" applyAlignment="1">
      <alignment vertical="center"/>
    </xf>
    <xf numFmtId="171" fontId="13" fillId="0" borderId="112" xfId="21" applyNumberFormat="1" applyFont="1" applyBorder="1" applyAlignment="1">
      <alignment vertical="center"/>
    </xf>
    <xf numFmtId="171" fontId="13" fillId="0" borderId="125" xfId="21" applyNumberFormat="1" applyFont="1" applyBorder="1" applyAlignment="1">
      <alignment vertical="center"/>
    </xf>
    <xf numFmtId="171" fontId="13" fillId="0" borderId="71" xfId="21" applyNumberFormat="1" applyFont="1" applyBorder="1" applyAlignment="1">
      <alignment vertical="center"/>
    </xf>
    <xf numFmtId="171" fontId="13" fillId="0" borderId="61" xfId="21" applyNumberFormat="1" applyFont="1" applyBorder="1" applyAlignment="1">
      <alignment vertical="center"/>
    </xf>
    <xf numFmtId="171" fontId="13" fillId="0" borderId="65" xfId="21" applyNumberFormat="1" applyFont="1" applyBorder="1" applyAlignment="1">
      <alignment vertical="center"/>
    </xf>
    <xf numFmtId="171" fontId="13" fillId="6" borderId="124" xfId="21" applyNumberFormat="1" applyFont="1" applyFill="1" applyBorder="1" applyAlignment="1">
      <alignment vertical="center"/>
    </xf>
    <xf numFmtId="171" fontId="13" fillId="0" borderId="124" xfId="21" applyNumberFormat="1" applyFont="1" applyBorder="1" applyAlignment="1">
      <alignment vertical="center"/>
    </xf>
    <xf numFmtId="171" fontId="13" fillId="6" borderId="112" xfId="21" applyNumberFormat="1" applyFont="1" applyFill="1" applyBorder="1" applyAlignment="1">
      <alignment vertical="center"/>
    </xf>
    <xf numFmtId="171" fontId="13" fillId="6" borderId="133" xfId="21" applyNumberFormat="1" applyFont="1" applyFill="1" applyBorder="1" applyAlignment="1">
      <alignment vertical="center"/>
    </xf>
    <xf numFmtId="0" fontId="27" fillId="0" borderId="96" xfId="8" applyFont="1" applyBorder="1" applyAlignment="1">
      <alignment vertical="center"/>
    </xf>
    <xf numFmtId="165" fontId="13" fillId="0" borderId="4" xfId="22" applyFont="1" applyBorder="1" applyAlignment="1">
      <alignment horizontal="right" vertical="center"/>
    </xf>
    <xf numFmtId="165" fontId="13" fillId="0" borderId="85" xfId="22" applyFont="1" applyBorder="1" applyAlignment="1">
      <alignment horizontal="right" vertical="center"/>
    </xf>
    <xf numFmtId="165" fontId="13" fillId="0" borderId="41" xfId="22" applyFont="1" applyBorder="1" applyAlignment="1">
      <alignment horizontal="right" vertical="center"/>
    </xf>
    <xf numFmtId="165" fontId="13" fillId="0" borderId="7" xfId="22" applyFont="1" applyBorder="1" applyAlignment="1">
      <alignment horizontal="right" vertical="center"/>
    </xf>
    <xf numFmtId="0" fontId="14" fillId="6" borderId="56" xfId="8" applyFont="1" applyFill="1" applyBorder="1" applyAlignment="1">
      <alignment vertical="center"/>
    </xf>
    <xf numFmtId="167" fontId="14" fillId="6" borderId="3" xfId="22" applyNumberFormat="1" applyFont="1" applyFill="1" applyBorder="1" applyAlignment="1">
      <alignment horizontal="right" vertical="center"/>
    </xf>
    <xf numFmtId="2" fontId="14" fillId="6" borderId="57" xfId="22" applyNumberFormat="1" applyFont="1" applyFill="1" applyBorder="1" applyAlignment="1">
      <alignment horizontal="right" vertical="center"/>
    </xf>
    <xf numFmtId="165" fontId="13" fillId="0" borderId="12" xfId="22" applyFont="1" applyBorder="1" applyAlignment="1">
      <alignment horizontal="right" vertical="center"/>
    </xf>
    <xf numFmtId="165" fontId="13" fillId="0" borderId="62" xfId="21" applyFont="1" applyBorder="1" applyAlignment="1">
      <alignment vertical="center"/>
    </xf>
    <xf numFmtId="2" fontId="13" fillId="0" borderId="14" xfId="22" applyNumberFormat="1" applyFont="1" applyBorder="1" applyAlignment="1">
      <alignment horizontal="right" vertical="center"/>
    </xf>
    <xf numFmtId="165" fontId="14" fillId="6" borderId="56" xfId="22" applyFont="1" applyFill="1" applyBorder="1" applyAlignment="1">
      <alignment vertical="center"/>
    </xf>
    <xf numFmtId="165" fontId="14" fillId="6" borderId="103" xfId="22" applyFont="1" applyFill="1" applyBorder="1" applyAlignment="1">
      <alignment vertical="center"/>
    </xf>
    <xf numFmtId="166" fontId="14" fillId="6" borderId="23" xfId="22" applyNumberFormat="1" applyFont="1" applyFill="1" applyBorder="1" applyAlignment="1">
      <alignment horizontal="right" vertical="center"/>
    </xf>
    <xf numFmtId="2" fontId="14" fillId="6" borderId="102" xfId="22" applyNumberFormat="1" applyFont="1" applyFill="1" applyBorder="1" applyAlignment="1">
      <alignment horizontal="right" vertical="center"/>
    </xf>
    <xf numFmtId="165" fontId="13" fillId="0" borderId="52" xfId="23" applyFont="1" applyBorder="1" applyAlignment="1">
      <alignment horizontal="left"/>
    </xf>
    <xf numFmtId="165" fontId="13" fillId="0" borderId="53" xfId="23" applyFont="1" applyBorder="1"/>
    <xf numFmtId="2" fontId="13" fillId="0" borderId="115" xfId="23" applyNumberFormat="1" applyFont="1" applyBorder="1" applyAlignment="1">
      <alignment horizontal="right" vertical="center"/>
    </xf>
    <xf numFmtId="16" fontId="13" fillId="0" borderId="97" xfId="0" applyNumberFormat="1" applyFont="1" applyBorder="1" applyAlignment="1">
      <alignment horizontal="left" vertical="center"/>
    </xf>
    <xf numFmtId="2" fontId="13" fillId="0" borderId="88" xfId="0" applyNumberFormat="1" applyFont="1" applyBorder="1" applyAlignment="1">
      <alignment vertical="center"/>
    </xf>
    <xf numFmtId="2" fontId="13" fillId="0" borderId="89" xfId="0" applyNumberFormat="1" applyFont="1" applyBorder="1" applyAlignment="1">
      <alignment vertical="center"/>
    </xf>
    <xf numFmtId="2" fontId="13" fillId="0" borderId="118" xfId="0" applyNumberFormat="1" applyFont="1" applyBorder="1" applyAlignment="1">
      <alignment vertical="center"/>
    </xf>
    <xf numFmtId="2" fontId="13" fillId="0" borderId="112" xfId="0" applyNumberFormat="1" applyFont="1" applyBorder="1" applyAlignment="1">
      <alignment vertical="center"/>
    </xf>
    <xf numFmtId="166" fontId="13" fillId="0" borderId="38" xfId="25" applyNumberFormat="1" applyFont="1" applyBorder="1" applyAlignment="1">
      <alignment horizontal="right" vertical="center"/>
    </xf>
    <xf numFmtId="166" fontId="14" fillId="0" borderId="61" xfId="25" applyNumberFormat="1" applyFont="1" applyBorder="1" applyAlignment="1">
      <alignment horizontal="right" vertical="center"/>
    </xf>
    <xf numFmtId="166" fontId="13" fillId="0" borderId="77" xfId="25" applyNumberFormat="1" applyFont="1" applyBorder="1" applyAlignment="1">
      <alignment horizontal="right" vertical="center"/>
    </xf>
    <xf numFmtId="166" fontId="14" fillId="6" borderId="16" xfId="25" applyNumberFormat="1" applyFont="1" applyFill="1" applyBorder="1" applyAlignment="1">
      <alignment horizontal="right" vertical="center"/>
    </xf>
    <xf numFmtId="166" fontId="14" fillId="6" borderId="102" xfId="25" applyNumberFormat="1" applyFont="1" applyFill="1" applyBorder="1" applyAlignment="1">
      <alignment horizontal="right" vertical="center"/>
    </xf>
    <xf numFmtId="166" fontId="30" fillId="14" borderId="3" xfId="25" applyNumberFormat="1" applyFont="1" applyFill="1" applyBorder="1" applyAlignment="1">
      <alignment horizontal="center" vertical="center" wrapText="1"/>
    </xf>
    <xf numFmtId="166" fontId="33" fillId="0" borderId="0" xfId="0" applyNumberFormat="1" applyFont="1" applyAlignment="1">
      <alignment vertical="center"/>
    </xf>
    <xf numFmtId="0" fontId="13" fillId="11" borderId="101" xfId="14" applyFont="1" applyFill="1" applyBorder="1" applyAlignment="1">
      <alignment vertical="center"/>
    </xf>
    <xf numFmtId="0" fontId="13" fillId="11" borderId="139" xfId="14" applyFont="1" applyFill="1" applyBorder="1" applyAlignment="1">
      <alignment vertical="center"/>
    </xf>
    <xf numFmtId="166" fontId="30" fillId="14" borderId="57" xfId="25" applyNumberFormat="1" applyFont="1" applyFill="1" applyBorder="1" applyAlignment="1">
      <alignment horizontal="center" vertical="center" wrapText="1"/>
    </xf>
    <xf numFmtId="166" fontId="13" fillId="0" borderId="36" xfId="8" applyNumberFormat="1" applyFont="1" applyBorder="1" applyAlignment="1">
      <alignment horizontal="left" vertical="center"/>
    </xf>
    <xf numFmtId="166" fontId="13" fillId="0" borderId="79" xfId="8" applyNumberFormat="1" applyFont="1" applyBorder="1" applyAlignment="1">
      <alignment horizontal="left" vertical="center"/>
    </xf>
    <xf numFmtId="165" fontId="30" fillId="14" borderId="100" xfId="22" applyFont="1" applyFill="1" applyBorder="1" applyAlignment="1">
      <alignment horizontal="center" vertical="center"/>
    </xf>
    <xf numFmtId="0" fontId="33" fillId="0" borderId="0" xfId="0" applyFont="1"/>
    <xf numFmtId="166" fontId="33" fillId="0" borderId="0" xfId="0" applyNumberFormat="1" applyFont="1"/>
    <xf numFmtId="1" fontId="14" fillId="0" borderId="0" xfId="0" applyNumberFormat="1" applyFont="1"/>
    <xf numFmtId="0" fontId="30" fillId="14" borderId="93" xfId="31" applyFont="1" applyFill="1" applyBorder="1" applyAlignment="1">
      <alignment horizontal="center" vertical="center" wrapText="1"/>
    </xf>
    <xf numFmtId="0" fontId="13" fillId="0" borderId="116" xfId="0" applyFont="1" applyBorder="1" applyAlignment="1">
      <alignment vertical="center"/>
    </xf>
    <xf numFmtId="166" fontId="13" fillId="0" borderId="86" xfId="0" applyNumberFormat="1" applyFont="1" applyBorder="1" applyAlignment="1">
      <alignment vertical="center"/>
    </xf>
    <xf numFmtId="165" fontId="13" fillId="0" borderId="85" xfId="0" applyNumberFormat="1" applyFont="1" applyBorder="1" applyAlignment="1">
      <alignment horizontal="right" vertical="center"/>
    </xf>
    <xf numFmtId="2" fontId="30" fillId="14" borderId="1" xfId="31" applyNumberFormat="1" applyFont="1" applyFill="1" applyBorder="1" applyAlignment="1">
      <alignment horizontal="right" vertical="center" wrapText="1"/>
    </xf>
    <xf numFmtId="166" fontId="14" fillId="0" borderId="122" xfId="31" applyNumberFormat="1" applyFont="1" applyBorder="1" applyAlignment="1">
      <alignment horizontal="right" vertical="center"/>
    </xf>
    <xf numFmtId="166" fontId="14" fillId="0" borderId="119" xfId="31" applyNumberFormat="1" applyFont="1" applyBorder="1" applyAlignment="1">
      <alignment horizontal="right" vertical="center"/>
    </xf>
    <xf numFmtId="166" fontId="14" fillId="0" borderId="120" xfId="31" applyNumberFormat="1" applyFont="1" applyBorder="1" applyAlignment="1">
      <alignment horizontal="right" vertical="center"/>
    </xf>
    <xf numFmtId="0" fontId="14" fillId="11" borderId="8" xfId="31" quotePrefix="1" applyFont="1" applyFill="1" applyBorder="1" applyAlignment="1">
      <alignment horizontal="center" vertical="center"/>
    </xf>
    <xf numFmtId="0" fontId="14" fillId="6" borderId="11" xfId="0" quotePrefix="1" applyFont="1" applyFill="1" applyBorder="1" applyAlignment="1">
      <alignment horizontal="center" vertical="center"/>
    </xf>
    <xf numFmtId="0" fontId="14" fillId="11" borderId="100" xfId="31" quotePrefix="1" applyFont="1" applyFill="1" applyBorder="1" applyAlignment="1">
      <alignment horizontal="center" vertical="center"/>
    </xf>
    <xf numFmtId="0" fontId="3" fillId="0" borderId="0" xfId="31" applyAlignment="1">
      <alignment horizontal="center"/>
    </xf>
    <xf numFmtId="166" fontId="18" fillId="0" borderId="81" xfId="8" applyNumberFormat="1" applyFont="1" applyBorder="1" applyAlignment="1">
      <alignment vertical="center"/>
    </xf>
    <xf numFmtId="166" fontId="18" fillId="0" borderId="45" xfId="8" applyNumberFormat="1" applyFont="1" applyBorder="1" applyAlignment="1">
      <alignment vertical="center"/>
    </xf>
    <xf numFmtId="166" fontId="18" fillId="0" borderId="161" xfId="8" applyNumberFormat="1" applyFont="1" applyBorder="1" applyAlignment="1">
      <alignment vertical="center"/>
    </xf>
    <xf numFmtId="165" fontId="14" fillId="6" borderId="57" xfId="20" quotePrefix="1" applyFont="1" applyFill="1" applyBorder="1" applyAlignment="1">
      <alignment horizontal="center" vertical="center"/>
    </xf>
    <xf numFmtId="166" fontId="13" fillId="0" borderId="121" xfId="8" applyNumberFormat="1" applyFont="1" applyBorder="1" applyAlignment="1">
      <alignment horizontal="left" vertical="center"/>
    </xf>
    <xf numFmtId="166" fontId="13" fillId="0" borderId="121" xfId="8" applyNumberFormat="1" applyFont="1" applyBorder="1" applyAlignment="1">
      <alignment horizontal="right" vertical="center"/>
    </xf>
    <xf numFmtId="49" fontId="13" fillId="0" borderId="67" xfId="8" applyNumberFormat="1" applyFont="1" applyBorder="1" applyAlignment="1">
      <alignment vertical="center" wrapText="1"/>
    </xf>
    <xf numFmtId="49" fontId="13" fillId="0" borderId="8" xfId="8" applyNumberFormat="1" applyFont="1" applyBorder="1" applyAlignment="1">
      <alignment vertical="center" wrapText="1"/>
    </xf>
    <xf numFmtId="166" fontId="13" fillId="0" borderId="8" xfId="8" applyNumberFormat="1" applyFont="1" applyBorder="1" applyAlignment="1">
      <alignment horizontal="left" vertical="center"/>
    </xf>
    <xf numFmtId="49" fontId="13" fillId="0" borderId="5" xfId="8" applyNumberFormat="1" applyFont="1" applyBorder="1" applyAlignment="1">
      <alignment vertical="center"/>
    </xf>
    <xf numFmtId="166" fontId="13" fillId="0" borderId="8" xfId="8" applyNumberFormat="1" applyFont="1" applyBorder="1" applyAlignment="1">
      <alignment horizontal="right" vertical="center"/>
    </xf>
    <xf numFmtId="166" fontId="13" fillId="0" borderId="5" xfId="8" applyNumberFormat="1" applyFont="1" applyBorder="1" applyAlignment="1">
      <alignment horizontal="right" vertical="center"/>
    </xf>
    <xf numFmtId="166" fontId="14" fillId="0" borderId="9" xfId="8" applyNumberFormat="1" applyFont="1" applyBorder="1" applyAlignment="1">
      <alignment horizontal="right" vertical="center"/>
    </xf>
    <xf numFmtId="165" fontId="14" fillId="0" borderId="85" xfId="22" applyFont="1" applyBorder="1" applyAlignment="1">
      <alignment horizontal="right" vertical="center"/>
    </xf>
    <xf numFmtId="2" fontId="13" fillId="0" borderId="29" xfId="0" applyNumberFormat="1" applyFont="1" applyBorder="1" applyAlignment="1">
      <alignment horizontal="right" vertical="center"/>
    </xf>
    <xf numFmtId="2" fontId="13" fillId="0" borderId="91" xfId="23" applyNumberFormat="1" applyFont="1" applyBorder="1" applyAlignment="1">
      <alignment horizontal="right" vertical="center"/>
    </xf>
    <xf numFmtId="2" fontId="13" fillId="0" borderId="92" xfId="23" applyNumberFormat="1" applyFont="1" applyBorder="1" applyAlignment="1">
      <alignment horizontal="right" vertical="center"/>
    </xf>
    <xf numFmtId="2" fontId="13" fillId="0" borderId="117" xfId="23" applyNumberFormat="1" applyFont="1" applyBorder="1" applyAlignment="1">
      <alignment horizontal="right" vertical="center"/>
    </xf>
    <xf numFmtId="2" fontId="14" fillId="6" borderId="93" xfId="22" applyNumberFormat="1" applyFont="1" applyFill="1" applyBorder="1" applyAlignment="1">
      <alignment horizontal="right" vertical="center"/>
    </xf>
    <xf numFmtId="165" fontId="13" fillId="0" borderId="49" xfId="23" applyFont="1" applyBorder="1"/>
    <xf numFmtId="165" fontId="13" fillId="0" borderId="54" xfId="23" applyFont="1" applyBorder="1"/>
    <xf numFmtId="166" fontId="14" fillId="6" borderId="41" xfId="0" applyNumberFormat="1" applyFont="1" applyFill="1" applyBorder="1" applyAlignment="1">
      <alignment horizontal="right" vertical="center"/>
    </xf>
    <xf numFmtId="171" fontId="14" fillId="6" borderId="42" xfId="0" applyNumberFormat="1" applyFont="1" applyFill="1" applyBorder="1" applyAlignment="1">
      <alignment vertical="center"/>
    </xf>
    <xf numFmtId="2" fontId="14" fillId="6" borderId="43" xfId="0" applyNumberFormat="1" applyFont="1" applyFill="1" applyBorder="1" applyAlignment="1">
      <alignment vertical="center"/>
    </xf>
    <xf numFmtId="166" fontId="14" fillId="6" borderId="44" xfId="0" applyNumberFormat="1" applyFont="1" applyFill="1" applyBorder="1" applyAlignment="1">
      <alignment horizontal="right" vertical="center"/>
    </xf>
    <xf numFmtId="2" fontId="14" fillId="6" borderId="65" xfId="0" applyNumberFormat="1" applyFont="1" applyFill="1" applyBorder="1" applyAlignment="1">
      <alignment vertical="center"/>
    </xf>
    <xf numFmtId="166" fontId="13" fillId="0" borderId="71" xfId="0" applyNumberFormat="1" applyFont="1" applyBorder="1" applyAlignment="1">
      <alignment horizontal="right" vertical="center"/>
    </xf>
    <xf numFmtId="0" fontId="14" fillId="6" borderId="2" xfId="0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171" fontId="14" fillId="6" borderId="24" xfId="0" applyNumberFormat="1" applyFont="1" applyFill="1" applyBorder="1" applyAlignment="1">
      <alignment vertical="center"/>
    </xf>
    <xf numFmtId="166" fontId="14" fillId="6" borderId="26" xfId="0" applyNumberFormat="1" applyFont="1" applyFill="1" applyBorder="1" applyAlignment="1">
      <alignment vertical="center"/>
    </xf>
    <xf numFmtId="166" fontId="14" fillId="6" borderId="25" xfId="0" applyNumberFormat="1" applyFont="1" applyFill="1" applyBorder="1" applyAlignment="1">
      <alignment vertical="center"/>
    </xf>
    <xf numFmtId="166" fontId="14" fillId="6" borderId="25" xfId="0" applyNumberFormat="1" applyFont="1" applyFill="1" applyBorder="1" applyAlignment="1">
      <alignment horizontal="right" vertical="center"/>
    </xf>
    <xf numFmtId="2" fontId="14" fillId="6" borderId="111" xfId="0" applyNumberFormat="1" applyFont="1" applyFill="1" applyBorder="1" applyAlignment="1">
      <alignment horizontal="right" vertical="center"/>
    </xf>
    <xf numFmtId="171" fontId="14" fillId="6" borderId="42" xfId="0" applyNumberFormat="1" applyFont="1" applyFill="1" applyBorder="1" applyAlignment="1">
      <alignment horizontal="right" vertical="center"/>
    </xf>
    <xf numFmtId="166" fontId="14" fillId="6" borderId="41" xfId="0" applyNumberFormat="1" applyFont="1" applyFill="1" applyBorder="1" applyAlignment="1">
      <alignment vertical="center"/>
    </xf>
    <xf numFmtId="166" fontId="17" fillId="6" borderId="29" xfId="16" applyNumberFormat="1" applyFont="1" applyFill="1" applyBorder="1" applyAlignment="1">
      <alignment horizontal="right" vertical="center"/>
    </xf>
    <xf numFmtId="166" fontId="17" fillId="6" borderId="29" xfId="32" applyNumberFormat="1" applyFont="1" applyFill="1" applyBorder="1" applyAlignment="1">
      <alignment horizontal="right" vertical="center"/>
    </xf>
    <xf numFmtId="10" fontId="17" fillId="6" borderId="31" xfId="32" applyNumberFormat="1" applyFont="1" applyFill="1" applyBorder="1" applyAlignment="1">
      <alignment horizontal="right" vertical="center"/>
    </xf>
    <xf numFmtId="173" fontId="17" fillId="6" borderId="112" xfId="32" applyNumberFormat="1" applyFont="1" applyFill="1" applyBorder="1" applyAlignment="1">
      <alignment horizontal="right" vertical="center"/>
    </xf>
    <xf numFmtId="171" fontId="14" fillId="6" borderId="30" xfId="0" applyNumberFormat="1" applyFont="1" applyFill="1" applyBorder="1" applyAlignment="1">
      <alignment vertical="center"/>
    </xf>
    <xf numFmtId="166" fontId="14" fillId="6" borderId="29" xfId="0" applyNumberFormat="1" applyFont="1" applyFill="1" applyBorder="1" applyAlignment="1">
      <alignment horizontal="right" vertical="center"/>
    </xf>
    <xf numFmtId="2" fontId="14" fillId="6" borderId="29" xfId="0" applyNumberFormat="1" applyFont="1" applyFill="1" applyBorder="1" applyAlignment="1">
      <alignment horizontal="right" vertical="center"/>
    </xf>
    <xf numFmtId="2" fontId="13" fillId="0" borderId="0" xfId="14" applyNumberFormat="1" applyFont="1" applyAlignment="1">
      <alignment horizontal="right" vertical="center"/>
    </xf>
    <xf numFmtId="171" fontId="13" fillId="0" borderId="0" xfId="14" applyNumberFormat="1" applyFont="1" applyAlignment="1">
      <alignment horizontal="right" vertical="center"/>
    </xf>
    <xf numFmtId="166" fontId="13" fillId="0" borderId="0" xfId="14" applyNumberFormat="1" applyFont="1" applyAlignment="1">
      <alignment horizontal="right" vertical="center"/>
    </xf>
    <xf numFmtId="0" fontId="13" fillId="6" borderId="35" xfId="14" applyFont="1" applyFill="1" applyBorder="1" applyAlignment="1">
      <alignment vertical="center"/>
    </xf>
    <xf numFmtId="2" fontId="13" fillId="6" borderId="36" xfId="14" applyNumberFormat="1" applyFont="1" applyFill="1" applyBorder="1" applyAlignment="1">
      <alignment vertical="center"/>
    </xf>
    <xf numFmtId="171" fontId="13" fillId="6" borderId="37" xfId="14" applyNumberFormat="1" applyFont="1" applyFill="1" applyBorder="1" applyAlignment="1">
      <alignment vertical="center"/>
    </xf>
    <xf numFmtId="171" fontId="13" fillId="6" borderId="61" xfId="14" applyNumberFormat="1" applyFont="1" applyFill="1" applyBorder="1" applyAlignment="1">
      <alignment vertical="center"/>
    </xf>
    <xf numFmtId="166" fontId="13" fillId="6" borderId="35" xfId="14" applyNumberFormat="1" applyFont="1" applyFill="1" applyBorder="1" applyAlignment="1">
      <alignment vertical="center"/>
    </xf>
    <xf numFmtId="171" fontId="13" fillId="6" borderId="119" xfId="14" applyNumberFormat="1" applyFont="1" applyFill="1" applyBorder="1" applyAlignment="1">
      <alignment vertical="center"/>
    </xf>
    <xf numFmtId="0" fontId="13" fillId="6" borderId="97" xfId="14" applyFont="1" applyFill="1" applyBorder="1" applyAlignment="1">
      <alignment vertical="center"/>
    </xf>
    <xf numFmtId="166" fontId="13" fillId="6" borderId="0" xfId="14" applyNumberFormat="1" applyFont="1" applyFill="1" applyAlignment="1">
      <alignment horizontal="right" vertical="center"/>
    </xf>
    <xf numFmtId="2" fontId="13" fillId="6" borderId="0" xfId="14" applyNumberFormat="1" applyFont="1" applyFill="1" applyAlignment="1">
      <alignment horizontal="right" vertical="center"/>
    </xf>
    <xf numFmtId="171" fontId="13" fillId="6" borderId="0" xfId="14" applyNumberFormat="1" applyFont="1" applyFill="1" applyAlignment="1">
      <alignment horizontal="right" vertical="center"/>
    </xf>
    <xf numFmtId="171" fontId="24" fillId="6" borderId="0" xfId="14" applyNumberFormat="1" applyFont="1" applyFill="1" applyAlignment="1">
      <alignment vertical="center"/>
    </xf>
    <xf numFmtId="2" fontId="13" fillId="0" borderId="0" xfId="20" applyNumberFormat="1" applyFont="1" applyAlignment="1">
      <alignment vertical="center"/>
    </xf>
    <xf numFmtId="171" fontId="13" fillId="0" borderId="0" xfId="20" applyNumberFormat="1" applyFont="1" applyAlignment="1">
      <alignment vertical="center"/>
    </xf>
    <xf numFmtId="17" fontId="33" fillId="0" borderId="0" xfId="0" applyNumberFormat="1" applyFont="1" applyAlignment="1">
      <alignment vertical="center"/>
    </xf>
    <xf numFmtId="10" fontId="33" fillId="0" borderId="0" xfId="0" applyNumberFormat="1" applyFont="1" applyAlignment="1">
      <alignment vertical="center"/>
    </xf>
    <xf numFmtId="171" fontId="33" fillId="0" borderId="0" xfId="0" applyNumberFormat="1" applyFont="1" applyAlignment="1">
      <alignment vertical="center"/>
    </xf>
    <xf numFmtId="17" fontId="33" fillId="0" borderId="0" xfId="0" applyNumberFormat="1" applyFont="1"/>
    <xf numFmtId="10" fontId="33" fillId="0" borderId="0" xfId="0" applyNumberFormat="1" applyFont="1"/>
    <xf numFmtId="171" fontId="33" fillId="0" borderId="0" xfId="0" applyNumberFormat="1" applyFont="1"/>
    <xf numFmtId="17" fontId="14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71" fontId="14" fillId="0" borderId="0" xfId="0" applyNumberFormat="1" applyFont="1" applyAlignment="1">
      <alignment vertical="center"/>
    </xf>
    <xf numFmtId="171" fontId="13" fillId="0" borderId="0" xfId="0" applyNumberFormat="1" applyFont="1"/>
    <xf numFmtId="0" fontId="30" fillId="14" borderId="64" xfId="31" applyFont="1" applyFill="1" applyBorder="1" applyAlignment="1">
      <alignment horizontal="left" vertical="center"/>
    </xf>
    <xf numFmtId="166" fontId="28" fillId="0" borderId="3" xfId="8" applyNumberFormat="1" applyFont="1" applyBorder="1" applyAlignment="1">
      <alignment vertical="center"/>
    </xf>
    <xf numFmtId="171" fontId="28" fillId="0" borderId="3" xfId="8" applyNumberFormat="1" applyFont="1" applyBorder="1" applyAlignment="1">
      <alignment vertical="center"/>
    </xf>
    <xf numFmtId="166" fontId="14" fillId="0" borderId="3" xfId="8" applyNumberFormat="1" applyFont="1" applyBorder="1" applyAlignment="1">
      <alignment vertical="center"/>
    </xf>
    <xf numFmtId="171" fontId="14" fillId="0" borderId="3" xfId="8" applyNumberFormat="1" applyFont="1" applyBorder="1" applyAlignment="1">
      <alignment vertical="center"/>
    </xf>
    <xf numFmtId="0" fontId="14" fillId="0" borderId="51" xfId="8" applyFont="1" applyBorder="1" applyAlignment="1">
      <alignment vertical="center"/>
    </xf>
    <xf numFmtId="0" fontId="13" fillId="0" borderId="137" xfId="8" applyFont="1" applyBorder="1" applyAlignment="1">
      <alignment vertical="center"/>
    </xf>
    <xf numFmtId="0" fontId="13" fillId="0" borderId="138" xfId="8" applyFont="1" applyBorder="1" applyAlignment="1">
      <alignment vertical="center"/>
    </xf>
    <xf numFmtId="0" fontId="13" fillId="0" borderId="139" xfId="8" applyFont="1" applyBorder="1" applyAlignment="1">
      <alignment vertical="center"/>
    </xf>
    <xf numFmtId="0" fontId="14" fillId="6" borderId="27" xfId="0" quotePrefix="1" applyFont="1" applyFill="1" applyBorder="1" applyAlignment="1">
      <alignment horizontal="center" vertical="center"/>
    </xf>
    <xf numFmtId="0" fontId="14" fillId="6" borderId="110" xfId="0" quotePrefix="1" applyFont="1" applyFill="1" applyBorder="1" applyAlignment="1">
      <alignment horizontal="center" vertical="center"/>
    </xf>
    <xf numFmtId="166" fontId="14" fillId="0" borderId="163" xfId="8" applyNumberFormat="1" applyFont="1" applyBorder="1" applyAlignment="1">
      <alignment vertical="center"/>
    </xf>
    <xf numFmtId="2" fontId="14" fillId="0" borderId="163" xfId="8" applyNumberFormat="1" applyFont="1" applyBorder="1" applyAlignment="1">
      <alignment vertical="center"/>
    </xf>
    <xf numFmtId="171" fontId="14" fillId="0" borderId="163" xfId="8" applyNumberFormat="1" applyFont="1" applyBorder="1" applyAlignment="1">
      <alignment vertical="center"/>
    </xf>
    <xf numFmtId="0" fontId="14" fillId="0" borderId="163" xfId="8" applyFont="1" applyBorder="1" applyAlignment="1">
      <alignment vertical="center"/>
    </xf>
    <xf numFmtId="166" fontId="28" fillId="0" borderId="163" xfId="8" applyNumberFormat="1" applyFont="1" applyBorder="1" applyAlignment="1">
      <alignment vertical="center"/>
    </xf>
    <xf numFmtId="2" fontId="28" fillId="0" borderId="163" xfId="8" applyNumberFormat="1" applyFont="1" applyBorder="1" applyAlignment="1">
      <alignment vertical="center"/>
    </xf>
    <xf numFmtId="171" fontId="28" fillId="0" borderId="163" xfId="8" applyNumberFormat="1" applyFont="1" applyBorder="1" applyAlignment="1">
      <alignment vertical="center"/>
    </xf>
    <xf numFmtId="10" fontId="14" fillId="0" borderId="58" xfId="0" applyNumberFormat="1" applyFont="1" applyBorder="1" applyAlignment="1">
      <alignment vertical="center"/>
    </xf>
    <xf numFmtId="171" fontId="14" fillId="0" borderId="49" xfId="0" applyNumberFormat="1" applyFont="1" applyBorder="1" applyAlignment="1">
      <alignment vertical="center"/>
    </xf>
    <xf numFmtId="10" fontId="14" fillId="0" borderId="49" xfId="0" applyNumberFormat="1" applyFont="1" applyBorder="1" applyAlignment="1">
      <alignment vertical="center"/>
    </xf>
    <xf numFmtId="171" fontId="13" fillId="0" borderId="53" xfId="0" applyNumberFormat="1" applyFont="1" applyBorder="1"/>
    <xf numFmtId="171" fontId="14" fillId="0" borderId="53" xfId="0" applyNumberFormat="1" applyFont="1" applyBorder="1" applyAlignment="1">
      <alignment vertical="center"/>
    </xf>
    <xf numFmtId="171" fontId="14" fillId="0" borderId="54" xfId="0" applyNumberFormat="1" applyFont="1" applyBorder="1" applyAlignment="1">
      <alignment vertical="center"/>
    </xf>
    <xf numFmtId="0" fontId="33" fillId="0" borderId="53" xfId="0" applyFont="1" applyBorder="1"/>
    <xf numFmtId="166" fontId="33" fillId="0" borderId="53" xfId="0" applyNumberFormat="1" applyFont="1" applyBorder="1"/>
    <xf numFmtId="171" fontId="33" fillId="0" borderId="53" xfId="0" applyNumberFormat="1" applyFont="1" applyBorder="1"/>
    <xf numFmtId="10" fontId="33" fillId="0" borderId="58" xfId="0" applyNumberFormat="1" applyFont="1" applyBorder="1" applyAlignment="1">
      <alignment vertical="center"/>
    </xf>
    <xf numFmtId="10" fontId="33" fillId="0" borderId="49" xfId="0" applyNumberFormat="1" applyFont="1" applyBorder="1" applyAlignment="1">
      <alignment vertical="center"/>
    </xf>
    <xf numFmtId="10" fontId="33" fillId="0" borderId="49" xfId="0" applyNumberFormat="1" applyFont="1" applyBorder="1"/>
    <xf numFmtId="10" fontId="33" fillId="0" borderId="54" xfId="0" applyNumberFormat="1" applyFont="1" applyBorder="1"/>
    <xf numFmtId="166" fontId="14" fillId="3" borderId="1" xfId="19" applyNumberFormat="1" applyFont="1" applyFill="1" applyBorder="1" applyAlignment="1">
      <alignment horizontal="center" vertical="center"/>
    </xf>
    <xf numFmtId="166" fontId="14" fillId="3" borderId="11" xfId="19" applyNumberFormat="1" applyFont="1" applyFill="1" applyBorder="1" applyAlignment="1">
      <alignment horizontal="center" vertical="center"/>
    </xf>
    <xf numFmtId="166" fontId="14" fillId="3" borderId="3" xfId="19" applyNumberFormat="1" applyFont="1" applyFill="1" applyBorder="1" applyAlignment="1">
      <alignment horizontal="center" vertical="center"/>
    </xf>
    <xf numFmtId="166" fontId="14" fillId="3" borderId="57" xfId="19" applyNumberFormat="1" applyFont="1" applyFill="1" applyBorder="1" applyAlignment="1">
      <alignment horizontal="center" vertical="center"/>
    </xf>
    <xf numFmtId="0" fontId="14" fillId="3" borderId="1" xfId="19" applyFont="1" applyFill="1" applyBorder="1" applyAlignment="1">
      <alignment horizontal="center" vertical="center"/>
    </xf>
    <xf numFmtId="0" fontId="14" fillId="3" borderId="11" xfId="19" applyFont="1" applyFill="1" applyBorder="1" applyAlignment="1">
      <alignment horizontal="center" vertical="center"/>
    </xf>
    <xf numFmtId="0" fontId="14" fillId="3" borderId="2" xfId="19" applyFont="1" applyFill="1" applyBorder="1" applyAlignment="1">
      <alignment horizontal="center" vertical="center"/>
    </xf>
    <xf numFmtId="166" fontId="14" fillId="3" borderId="2" xfId="19" applyNumberFormat="1" applyFont="1" applyFill="1" applyBorder="1" applyAlignment="1">
      <alignment horizontal="center" vertical="center"/>
    </xf>
    <xf numFmtId="0" fontId="26" fillId="0" borderId="55" xfId="19" applyFont="1" applyBorder="1" applyAlignment="1">
      <alignment horizontal="center" vertical="center"/>
    </xf>
    <xf numFmtId="0" fontId="26" fillId="0" borderId="47" xfId="19" applyFont="1" applyBorder="1" applyAlignment="1">
      <alignment horizontal="center" vertical="center"/>
    </xf>
    <xf numFmtId="0" fontId="26" fillId="0" borderId="48" xfId="19" applyFont="1" applyBorder="1" applyAlignment="1">
      <alignment horizontal="center" vertical="center"/>
    </xf>
    <xf numFmtId="0" fontId="26" fillId="0" borderId="67" xfId="9" applyFont="1" applyBorder="1" applyAlignment="1">
      <alignment horizontal="right" vertical="center"/>
    </xf>
    <xf numFmtId="0" fontId="26" fillId="0" borderId="5" xfId="9" applyFont="1" applyBorder="1" applyAlignment="1">
      <alignment horizontal="right" vertical="center"/>
    </xf>
    <xf numFmtId="0" fontId="26" fillId="0" borderId="66" xfId="9" applyFont="1" applyBorder="1" applyAlignment="1">
      <alignment horizontal="right" vertical="center"/>
    </xf>
    <xf numFmtId="0" fontId="14" fillId="3" borderId="99" xfId="19" applyFont="1" applyFill="1" applyBorder="1" applyAlignment="1">
      <alignment horizontal="left" vertical="center" wrapText="1"/>
    </xf>
    <xf numFmtId="0" fontId="14" fillId="3" borderId="100" xfId="19" applyFont="1" applyFill="1" applyBorder="1" applyAlignment="1">
      <alignment horizontal="left" vertical="center" wrapText="1"/>
    </xf>
    <xf numFmtId="166" fontId="14" fillId="3" borderId="93" xfId="19" applyNumberFormat="1" applyFont="1" applyFill="1" applyBorder="1" applyAlignment="1">
      <alignment horizontal="center" vertical="center"/>
    </xf>
    <xf numFmtId="0" fontId="26" fillId="0" borderId="55" xfId="19" applyFont="1" applyBorder="1" applyAlignment="1">
      <alignment horizontal="center"/>
    </xf>
    <xf numFmtId="0" fontId="26" fillId="0" borderId="47" xfId="19" applyFont="1" applyBorder="1" applyAlignment="1">
      <alignment horizontal="center"/>
    </xf>
    <xf numFmtId="0" fontId="26" fillId="0" borderId="48" xfId="19" applyFont="1" applyBorder="1" applyAlignment="1">
      <alignment horizontal="center"/>
    </xf>
    <xf numFmtId="0" fontId="26" fillId="0" borderId="67" xfId="8" applyFont="1" applyBorder="1" applyAlignment="1">
      <alignment horizontal="right"/>
    </xf>
    <xf numFmtId="0" fontId="26" fillId="0" borderId="5" xfId="8" applyFont="1" applyBorder="1" applyAlignment="1">
      <alignment horizontal="right"/>
    </xf>
    <xf numFmtId="0" fontId="26" fillId="0" borderId="66" xfId="8" applyFont="1" applyBorder="1" applyAlignment="1">
      <alignment horizontal="right"/>
    </xf>
    <xf numFmtId="0" fontId="14" fillId="3" borderId="99" xfId="19" applyFont="1" applyFill="1" applyBorder="1" applyAlignment="1">
      <alignment vertical="center"/>
    </xf>
    <xf numFmtId="0" fontId="14" fillId="3" borderId="100" xfId="19" applyFont="1" applyFill="1" applyBorder="1" applyAlignment="1">
      <alignment vertical="center"/>
    </xf>
    <xf numFmtId="0" fontId="15" fillId="0" borderId="5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1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49" xfId="0" applyFont="1" applyBorder="1" applyAlignment="1">
      <alignment horizontal="right" vertical="center"/>
    </xf>
    <xf numFmtId="0" fontId="30" fillId="14" borderId="57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0" fillId="14" borderId="1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 wrapText="1"/>
    </xf>
    <xf numFmtId="0" fontId="30" fillId="14" borderId="93" xfId="0" applyFont="1" applyFill="1" applyBorder="1" applyAlignment="1">
      <alignment horizontal="center" vertical="center" wrapText="1"/>
    </xf>
    <xf numFmtId="164" fontId="30" fillId="14" borderId="99" xfId="34" applyNumberFormat="1" applyFont="1" applyFill="1" applyBorder="1" applyAlignment="1">
      <alignment horizontal="center" vertical="center"/>
    </xf>
    <xf numFmtId="164" fontId="30" fillId="14" borderId="62" xfId="34" applyNumberFormat="1" applyFont="1" applyFill="1" applyBorder="1" applyAlignment="1">
      <alignment horizontal="center" vertical="center"/>
    </xf>
    <xf numFmtId="164" fontId="30" fillId="14" borderId="100" xfId="34" applyNumberFormat="1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13" fillId="0" borderId="51" xfId="0" applyFont="1" applyFill="1" applyBorder="1" applyAlignment="1">
      <alignment horizontal="justify" wrapText="1"/>
    </xf>
    <xf numFmtId="0" fontId="13" fillId="0" borderId="0" xfId="0" applyFont="1" applyFill="1" applyAlignment="1">
      <alignment horizontal="justify" wrapText="1"/>
    </xf>
    <xf numFmtId="0" fontId="13" fillId="0" borderId="49" xfId="0" applyFont="1" applyFill="1" applyBorder="1" applyAlignment="1">
      <alignment horizontal="justify" wrapText="1"/>
    </xf>
    <xf numFmtId="0" fontId="30" fillId="14" borderId="99" xfId="0" applyFont="1" applyFill="1" applyBorder="1" applyAlignment="1">
      <alignment horizontal="center" vertical="center"/>
    </xf>
    <xf numFmtId="0" fontId="30" fillId="14" borderId="62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 wrapText="1"/>
    </xf>
    <xf numFmtId="0" fontId="30" fillId="14" borderId="11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/>
    </xf>
    <xf numFmtId="0" fontId="30" fillId="8" borderId="57" xfId="0" applyFont="1" applyFill="1" applyBorder="1" applyAlignment="1">
      <alignment horizontal="center" vertical="center"/>
    </xf>
    <xf numFmtId="0" fontId="30" fillId="14" borderId="3" xfId="0" quotePrefix="1" applyFont="1" applyFill="1" applyBorder="1" applyAlignment="1">
      <alignment horizontal="center" vertical="center" wrapText="1"/>
    </xf>
    <xf numFmtId="0" fontId="30" fillId="14" borderId="3" xfId="0" quotePrefix="1" applyFont="1" applyFill="1" applyBorder="1" applyAlignment="1">
      <alignment horizontal="center" vertical="center"/>
    </xf>
    <xf numFmtId="0" fontId="15" fillId="0" borderId="67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66" xfId="0" applyFont="1" applyBorder="1" applyAlignment="1">
      <alignment horizontal="right" vertical="center"/>
    </xf>
    <xf numFmtId="0" fontId="30" fillId="14" borderId="56" xfId="0" applyFont="1" applyFill="1" applyBorder="1" applyAlignment="1">
      <alignment horizontal="center" vertical="center"/>
    </xf>
    <xf numFmtId="0" fontId="30" fillId="14" borderId="57" xfId="0" quotePrefix="1" applyFont="1" applyFill="1" applyBorder="1" applyAlignment="1">
      <alignment horizontal="center" vertical="center"/>
    </xf>
    <xf numFmtId="0" fontId="30" fillId="14" borderId="5" xfId="0" applyFont="1" applyFill="1" applyBorder="1" applyAlignment="1">
      <alignment horizontal="center" vertical="center"/>
    </xf>
    <xf numFmtId="0" fontId="30" fillId="14" borderId="66" xfId="0" applyFont="1" applyFill="1" applyBorder="1" applyAlignment="1">
      <alignment horizontal="center" vertical="center"/>
    </xf>
    <xf numFmtId="0" fontId="30" fillId="14" borderId="99" xfId="0" applyFont="1" applyFill="1" applyBorder="1" applyAlignment="1">
      <alignment horizontal="center" vertical="center" wrapText="1"/>
    </xf>
    <xf numFmtId="0" fontId="30" fillId="14" borderId="6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93" xfId="0" applyFont="1" applyFill="1" applyBorder="1" applyAlignment="1">
      <alignment horizontal="center" vertical="center"/>
    </xf>
    <xf numFmtId="0" fontId="30" fillId="14" borderId="1" xfId="0" quotePrefix="1" applyFont="1" applyFill="1" applyBorder="1" applyAlignment="1">
      <alignment horizontal="center" vertical="center" wrapText="1"/>
    </xf>
    <xf numFmtId="0" fontId="30" fillId="14" borderId="2" xfId="0" quotePrefix="1" applyFont="1" applyFill="1" applyBorder="1" applyAlignment="1">
      <alignment horizontal="center" vertical="center"/>
    </xf>
    <xf numFmtId="0" fontId="30" fillId="14" borderId="11" xfId="0" quotePrefix="1" applyFont="1" applyFill="1" applyBorder="1" applyAlignment="1">
      <alignment horizontal="center" vertical="center"/>
    </xf>
    <xf numFmtId="0" fontId="30" fillId="14" borderId="93" xfId="0" quotePrefix="1" applyFont="1" applyFill="1" applyBorder="1" applyAlignment="1">
      <alignment horizontal="center" vertical="center"/>
    </xf>
    <xf numFmtId="0" fontId="30" fillId="14" borderId="100" xfId="0" applyFont="1" applyFill="1" applyBorder="1" applyAlignment="1">
      <alignment horizontal="center" vertical="center"/>
    </xf>
    <xf numFmtId="0" fontId="30" fillId="14" borderId="3" xfId="0" applyFont="1" applyFill="1" applyBorder="1" applyAlignment="1">
      <alignment horizontal="center" vertical="center"/>
    </xf>
    <xf numFmtId="0" fontId="30" fillId="14" borderId="93" xfId="0" applyFont="1" applyFill="1" applyBorder="1" applyAlignment="1">
      <alignment horizontal="center" vertical="center"/>
    </xf>
    <xf numFmtId="0" fontId="31" fillId="0" borderId="55" xfId="31" applyFont="1" applyBorder="1" applyAlignment="1">
      <alignment horizontal="center" vertical="center" wrapText="1"/>
    </xf>
    <xf numFmtId="0" fontId="31" fillId="0" borderId="47" xfId="31" applyFont="1" applyBorder="1" applyAlignment="1">
      <alignment horizontal="center" vertical="center" wrapText="1"/>
    </xf>
    <xf numFmtId="0" fontId="31" fillId="0" borderId="48" xfId="31" applyFont="1" applyBorder="1" applyAlignment="1">
      <alignment horizontal="center" vertical="center" wrapText="1"/>
    </xf>
    <xf numFmtId="0" fontId="36" fillId="14" borderId="56" xfId="31" applyFont="1" applyFill="1" applyBorder="1" applyAlignment="1">
      <alignment horizontal="center" vertical="center"/>
    </xf>
    <xf numFmtId="0" fontId="36" fillId="14" borderId="3" xfId="31" applyFont="1" applyFill="1" applyBorder="1" applyAlignment="1">
      <alignment horizontal="center" vertical="center" wrapText="1"/>
    </xf>
    <xf numFmtId="0" fontId="36" fillId="14" borderId="3" xfId="31" applyFont="1" applyFill="1" applyBorder="1" applyAlignment="1">
      <alignment horizontal="center" vertical="center"/>
    </xf>
    <xf numFmtId="0" fontId="36" fillId="14" borderId="1" xfId="31" applyFont="1" applyFill="1" applyBorder="1" applyAlignment="1">
      <alignment horizontal="center" vertical="center" wrapText="1"/>
    </xf>
    <xf numFmtId="0" fontId="36" fillId="14" borderId="11" xfId="31" applyFont="1" applyFill="1" applyBorder="1" applyAlignment="1">
      <alignment horizontal="center" vertical="center"/>
    </xf>
    <xf numFmtId="0" fontId="36" fillId="14" borderId="57" xfId="31" applyFont="1" applyFill="1" applyBorder="1" applyAlignment="1">
      <alignment horizontal="center" vertical="center"/>
    </xf>
    <xf numFmtId="0" fontId="14" fillId="8" borderId="11" xfId="0" quotePrefix="1" applyFont="1" applyFill="1" applyBorder="1" applyAlignment="1">
      <alignment horizontal="center" vertical="center"/>
    </xf>
    <xf numFmtId="0" fontId="14" fillId="8" borderId="1" xfId="0" quotePrefix="1" applyFont="1" applyFill="1" applyBorder="1" applyAlignment="1">
      <alignment horizontal="center" vertical="center"/>
    </xf>
    <xf numFmtId="0" fontId="14" fillId="8" borderId="57" xfId="0" applyFont="1" applyFill="1" applyBorder="1" applyAlignment="1">
      <alignment horizontal="center" vertical="center"/>
    </xf>
    <xf numFmtId="0" fontId="30" fillId="14" borderId="1" xfId="0" quotePrefix="1" applyFont="1" applyFill="1" applyBorder="1" applyAlignment="1">
      <alignment horizontal="center" vertical="center"/>
    </xf>
    <xf numFmtId="0" fontId="14" fillId="11" borderId="1" xfId="14" quotePrefix="1" applyFont="1" applyFill="1" applyBorder="1" applyAlignment="1">
      <alignment horizontal="center" vertical="center"/>
    </xf>
    <xf numFmtId="0" fontId="14" fillId="11" borderId="11" xfId="14" quotePrefix="1" applyFont="1" applyFill="1" applyBorder="1" applyAlignment="1">
      <alignment horizontal="center" vertical="center"/>
    </xf>
    <xf numFmtId="0" fontId="30" fillId="14" borderId="56" xfId="14" applyFont="1" applyFill="1" applyBorder="1" applyAlignment="1">
      <alignment horizontal="left" vertical="center"/>
    </xf>
    <xf numFmtId="0" fontId="30" fillId="14" borderId="3" xfId="14" applyFont="1" applyFill="1" applyBorder="1" applyAlignment="1">
      <alignment horizontal="center" vertical="center"/>
    </xf>
    <xf numFmtId="0" fontId="30" fillId="14" borderId="57" xfId="14" applyFont="1" applyFill="1" applyBorder="1" applyAlignment="1">
      <alignment horizontal="center" vertical="center"/>
    </xf>
    <xf numFmtId="166" fontId="30" fillId="14" borderId="1" xfId="14" applyNumberFormat="1" applyFont="1" applyFill="1" applyBorder="1" applyAlignment="1">
      <alignment horizontal="center" vertical="center"/>
    </xf>
    <xf numFmtId="166" fontId="30" fillId="14" borderId="11" xfId="14" applyNumberFormat="1" applyFont="1" applyFill="1" applyBorder="1" applyAlignment="1">
      <alignment horizontal="center" vertical="center"/>
    </xf>
    <xf numFmtId="0" fontId="31" fillId="0" borderId="55" xfId="14" applyFont="1" applyBorder="1" applyAlignment="1">
      <alignment horizontal="center" vertical="center"/>
    </xf>
    <xf numFmtId="0" fontId="31" fillId="0" borderId="47" xfId="14" applyFont="1" applyBorder="1" applyAlignment="1">
      <alignment horizontal="center" vertical="center"/>
    </xf>
    <xf numFmtId="0" fontId="31" fillId="0" borderId="48" xfId="14" applyFont="1" applyBorder="1" applyAlignment="1">
      <alignment horizontal="center" vertical="center"/>
    </xf>
    <xf numFmtId="166" fontId="15" fillId="0" borderId="67" xfId="14" applyNumberFormat="1" applyFont="1" applyBorder="1" applyAlignment="1">
      <alignment horizontal="right" vertical="center"/>
    </xf>
    <xf numFmtId="166" fontId="15" fillId="0" borderId="5" xfId="14" applyNumberFormat="1" applyFont="1" applyBorder="1" applyAlignment="1">
      <alignment horizontal="right" vertical="center"/>
    </xf>
    <xf numFmtId="166" fontId="15" fillId="0" borderId="66" xfId="14" applyNumberFormat="1" applyFont="1" applyBorder="1" applyAlignment="1">
      <alignment horizontal="right" vertical="center"/>
    </xf>
    <xf numFmtId="166" fontId="14" fillId="0" borderId="0" xfId="14" applyNumberFormat="1" applyFont="1" applyAlignment="1">
      <alignment horizontal="center" vertical="center"/>
    </xf>
    <xf numFmtId="166" fontId="14" fillId="6" borderId="0" xfId="14" applyNumberFormat="1" applyFont="1" applyFill="1" applyAlignment="1">
      <alignment horizontal="center" vertical="center"/>
    </xf>
    <xf numFmtId="0" fontId="30" fillId="14" borderId="99" xfId="8" applyFont="1" applyFill="1" applyBorder="1" applyAlignment="1">
      <alignment horizontal="center" vertical="center"/>
    </xf>
    <xf numFmtId="0" fontId="30" fillId="14" borderId="100" xfId="8" applyFont="1" applyFill="1" applyBorder="1" applyAlignment="1">
      <alignment horizontal="center" vertical="center"/>
    </xf>
    <xf numFmtId="0" fontId="30" fillId="14" borderId="1" xfId="8" applyFont="1" applyFill="1" applyBorder="1" applyAlignment="1">
      <alignment horizontal="center" vertical="center"/>
    </xf>
    <xf numFmtId="0" fontId="30" fillId="14" borderId="11" xfId="8" applyFont="1" applyFill="1" applyBorder="1" applyAlignment="1">
      <alignment horizontal="center" vertical="center"/>
    </xf>
    <xf numFmtId="0" fontId="31" fillId="0" borderId="55" xfId="8" applyFont="1" applyBorder="1" applyAlignment="1">
      <alignment horizontal="center" vertical="center"/>
    </xf>
    <xf numFmtId="0" fontId="31" fillId="0" borderId="47" xfId="8" applyFont="1" applyBorder="1" applyAlignment="1">
      <alignment horizontal="center" vertical="center"/>
    </xf>
    <xf numFmtId="0" fontId="31" fillId="0" borderId="48" xfId="8" applyFont="1" applyBorder="1" applyAlignment="1">
      <alignment horizontal="center" vertical="center"/>
    </xf>
    <xf numFmtId="166" fontId="15" fillId="0" borderId="67" xfId="8" applyNumberFormat="1" applyFont="1" applyBorder="1" applyAlignment="1">
      <alignment horizontal="right" vertical="center"/>
    </xf>
    <xf numFmtId="166" fontId="15" fillId="0" borderId="5" xfId="8" applyNumberFormat="1" applyFont="1" applyBorder="1" applyAlignment="1">
      <alignment horizontal="right" vertical="center"/>
    </xf>
    <xf numFmtId="166" fontId="15" fillId="0" borderId="66" xfId="8" applyNumberFormat="1" applyFont="1" applyBorder="1" applyAlignment="1">
      <alignment horizontal="right" vertical="center"/>
    </xf>
    <xf numFmtId="0" fontId="30" fillId="14" borderId="99" xfId="0" applyFont="1" applyFill="1" applyBorder="1" applyAlignment="1">
      <alignment horizontal="left" vertical="center"/>
    </xf>
    <xf numFmtId="0" fontId="30" fillId="14" borderId="100" xfId="0" applyFont="1" applyFill="1" applyBorder="1" applyAlignment="1">
      <alignment horizontal="left" vertical="center"/>
    </xf>
    <xf numFmtId="0" fontId="30" fillId="14" borderId="2" xfId="8" applyFont="1" applyFill="1" applyBorder="1" applyAlignment="1">
      <alignment horizontal="center" vertical="center"/>
    </xf>
    <xf numFmtId="0" fontId="30" fillId="14" borderId="93" xfId="8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0" fillId="14" borderId="3" xfId="31" applyFont="1" applyFill="1" applyBorder="1" applyAlignment="1">
      <alignment horizontal="center" vertical="center"/>
    </xf>
    <xf numFmtId="0" fontId="30" fillId="14" borderId="11" xfId="31" applyFont="1" applyFill="1" applyBorder="1" applyAlignment="1">
      <alignment horizontal="center" vertical="center"/>
    </xf>
    <xf numFmtId="0" fontId="30" fillId="14" borderId="57" xfId="31" applyFont="1" applyFill="1" applyBorder="1" applyAlignment="1">
      <alignment horizontal="center" vertical="center"/>
    </xf>
    <xf numFmtId="2" fontId="15" fillId="0" borderId="67" xfId="31" applyNumberFormat="1" applyFont="1" applyBorder="1" applyAlignment="1">
      <alignment horizontal="right" vertical="center"/>
    </xf>
    <xf numFmtId="2" fontId="15" fillId="0" borderId="5" xfId="31" applyNumberFormat="1" applyFont="1" applyBorder="1" applyAlignment="1">
      <alignment horizontal="right" vertical="center"/>
    </xf>
    <xf numFmtId="0" fontId="31" fillId="0" borderId="51" xfId="31" applyFont="1" applyBorder="1" applyAlignment="1">
      <alignment horizontal="center" vertical="center"/>
    </xf>
    <xf numFmtId="0" fontId="31" fillId="0" borderId="0" xfId="31" applyFont="1" applyAlignment="1">
      <alignment horizontal="center" vertical="center"/>
    </xf>
    <xf numFmtId="0" fontId="30" fillId="14" borderId="56" xfId="31" applyFont="1" applyFill="1" applyBorder="1" applyAlignment="1">
      <alignment horizontal="left" vertical="center" wrapText="1"/>
    </xf>
    <xf numFmtId="0" fontId="30" fillId="14" borderId="56" xfId="31" applyFont="1" applyFill="1" applyBorder="1" applyAlignment="1">
      <alignment horizontal="left" vertical="center"/>
    </xf>
    <xf numFmtId="0" fontId="13" fillId="0" borderId="99" xfId="31" applyFont="1" applyBorder="1" applyAlignment="1">
      <alignment vertical="center"/>
    </xf>
    <xf numFmtId="0" fontId="13" fillId="0" borderId="62" xfId="31" applyFont="1" applyBorder="1" applyAlignment="1">
      <alignment vertical="center"/>
    </xf>
    <xf numFmtId="0" fontId="13" fillId="0" borderId="100" xfId="31" applyFont="1" applyBorder="1" applyAlignment="1">
      <alignment vertical="center"/>
    </xf>
    <xf numFmtId="0" fontId="14" fillId="11" borderId="3" xfId="31" applyFont="1" applyFill="1" applyBorder="1" applyAlignment="1">
      <alignment horizontal="left" vertical="center"/>
    </xf>
    <xf numFmtId="0" fontId="14" fillId="11" borderId="23" xfId="31" applyFont="1" applyFill="1" applyBorder="1" applyAlignment="1">
      <alignment horizontal="left" vertical="center"/>
    </xf>
    <xf numFmtId="168" fontId="30" fillId="14" borderId="2" xfId="31" applyNumberFormat="1" applyFont="1" applyFill="1" applyBorder="1" applyAlignment="1">
      <alignment horizontal="center" vertical="center" wrapText="1"/>
    </xf>
    <xf numFmtId="168" fontId="30" fillId="14" borderId="93" xfId="31" applyNumberFormat="1" applyFont="1" applyFill="1" applyBorder="1" applyAlignment="1">
      <alignment horizontal="center" vertical="center" wrapText="1"/>
    </xf>
    <xf numFmtId="0" fontId="14" fillId="0" borderId="67" xfId="31" applyFont="1" applyBorder="1" applyAlignment="1">
      <alignment horizontal="right" vertical="center"/>
    </xf>
    <xf numFmtId="0" fontId="14" fillId="0" borderId="5" xfId="31" applyFont="1" applyBorder="1" applyAlignment="1">
      <alignment horizontal="right" vertical="center"/>
    </xf>
    <xf numFmtId="0" fontId="14" fillId="0" borderId="66" xfId="31" applyFont="1" applyBorder="1" applyAlignment="1">
      <alignment horizontal="right" vertical="center"/>
    </xf>
    <xf numFmtId="0" fontId="31" fillId="0" borderId="55" xfId="31" applyFont="1" applyBorder="1" applyAlignment="1">
      <alignment horizontal="center" vertical="center"/>
    </xf>
    <xf numFmtId="0" fontId="31" fillId="0" borderId="47" xfId="31" applyFont="1" applyBorder="1" applyAlignment="1">
      <alignment horizontal="center" vertical="center"/>
    </xf>
    <xf numFmtId="0" fontId="31" fillId="0" borderId="48" xfId="31" applyFont="1" applyBorder="1" applyAlignment="1">
      <alignment horizontal="center" vertical="center"/>
    </xf>
    <xf numFmtId="0" fontId="30" fillId="14" borderId="99" xfId="31" applyFont="1" applyFill="1" applyBorder="1" applyAlignment="1">
      <alignment horizontal="left" vertical="center"/>
    </xf>
    <xf numFmtId="0" fontId="30" fillId="14" borderId="100" xfId="31" applyFont="1" applyFill="1" applyBorder="1" applyAlignment="1">
      <alignment horizontal="left" vertical="center"/>
    </xf>
    <xf numFmtId="0" fontId="30" fillId="14" borderId="27" xfId="31" applyFont="1" applyFill="1" applyBorder="1" applyAlignment="1">
      <alignment horizontal="center" vertical="center" wrapText="1"/>
    </xf>
    <xf numFmtId="0" fontId="30" fillId="14" borderId="18" xfId="31" applyFont="1" applyFill="1" applyBorder="1" applyAlignment="1">
      <alignment horizontal="center" vertical="center" wrapText="1"/>
    </xf>
    <xf numFmtId="168" fontId="30" fillId="14" borderId="11" xfId="31" applyNumberFormat="1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7" xfId="0" applyFont="1" applyBorder="1" applyAlignment="1">
      <alignment horizontal="right" vertical="top"/>
    </xf>
    <xf numFmtId="0" fontId="15" fillId="0" borderId="5" xfId="0" applyFont="1" applyBorder="1" applyAlignment="1">
      <alignment horizontal="right" vertical="top"/>
    </xf>
    <xf numFmtId="0" fontId="26" fillId="0" borderId="51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49" xfId="0" applyFont="1" applyBorder="1" applyAlignment="1">
      <alignment horizontal="right" vertical="center"/>
    </xf>
    <xf numFmtId="0" fontId="26" fillId="0" borderId="55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30" fillId="14" borderId="162" xfId="31" applyFont="1" applyFill="1" applyBorder="1" applyAlignment="1">
      <alignment horizontal="left" vertical="center"/>
    </xf>
    <xf numFmtId="0" fontId="30" fillId="14" borderId="20" xfId="31" applyFont="1" applyFill="1" applyBorder="1" applyAlignment="1">
      <alignment horizontal="center" vertical="center"/>
    </xf>
    <xf numFmtId="0" fontId="30" fillId="14" borderId="21" xfId="31" applyFont="1" applyFill="1" applyBorder="1" applyAlignment="1">
      <alignment horizontal="center" vertical="center"/>
    </xf>
    <xf numFmtId="0" fontId="30" fillId="14" borderId="113" xfId="31" applyFont="1" applyFill="1" applyBorder="1" applyAlignment="1">
      <alignment horizontal="center" vertical="center"/>
    </xf>
    <xf numFmtId="0" fontId="15" fillId="0" borderId="51" xfId="31" applyFont="1" applyBorder="1" applyAlignment="1">
      <alignment horizontal="right"/>
    </xf>
    <xf numFmtId="0" fontId="15" fillId="0" borderId="0" xfId="31" applyFont="1" applyAlignment="1">
      <alignment horizontal="right"/>
    </xf>
    <xf numFmtId="0" fontId="15" fillId="0" borderId="49" xfId="31" applyFont="1" applyBorder="1" applyAlignment="1">
      <alignment horizontal="right"/>
    </xf>
    <xf numFmtId="0" fontId="15" fillId="0" borderId="55" xfId="31" applyFont="1" applyBorder="1" applyAlignment="1">
      <alignment horizontal="center" vertical="center"/>
    </xf>
    <xf numFmtId="0" fontId="15" fillId="0" borderId="47" xfId="31" applyFont="1" applyBorder="1" applyAlignment="1">
      <alignment horizontal="center" vertical="center"/>
    </xf>
    <xf numFmtId="0" fontId="15" fillId="0" borderId="48" xfId="31" applyFont="1" applyBorder="1" applyAlignment="1">
      <alignment horizontal="center" vertical="center"/>
    </xf>
    <xf numFmtId="0" fontId="15" fillId="0" borderId="51" xfId="31" applyFont="1" applyBorder="1" applyAlignment="1">
      <alignment horizontal="right" vertical="center"/>
    </xf>
    <xf numFmtId="0" fontId="15" fillId="0" borderId="0" xfId="31" applyFont="1" applyAlignment="1">
      <alignment horizontal="right" vertical="center"/>
    </xf>
    <xf numFmtId="0" fontId="15" fillId="0" borderId="49" xfId="31" applyFont="1" applyBorder="1" applyAlignment="1">
      <alignment horizontal="right" vertical="center"/>
    </xf>
    <xf numFmtId="0" fontId="30" fillId="14" borderId="2" xfId="31" applyFont="1" applyFill="1" applyBorder="1" applyAlignment="1">
      <alignment horizontal="center" vertical="center"/>
    </xf>
    <xf numFmtId="0" fontId="30" fillId="14" borderId="110" xfId="31" applyFont="1" applyFill="1" applyBorder="1" applyAlignment="1">
      <alignment horizontal="right" vertical="center" wrapText="1"/>
    </xf>
    <xf numFmtId="0" fontId="30" fillId="14" borderId="107" xfId="31" applyFont="1" applyFill="1" applyBorder="1" applyAlignment="1">
      <alignment horizontal="right" vertical="center" wrapText="1"/>
    </xf>
    <xf numFmtId="0" fontId="14" fillId="6" borderId="64" xfId="0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0" fontId="13" fillId="0" borderId="99" xfId="0" applyFont="1" applyBorder="1" applyAlignment="1">
      <alignment horizontal="center" vertical="center" textRotation="90"/>
    </xf>
    <xf numFmtId="0" fontId="13" fillId="0" borderId="62" xfId="0" applyFont="1" applyBorder="1" applyAlignment="1">
      <alignment horizontal="center" vertical="center" textRotation="90"/>
    </xf>
    <xf numFmtId="0" fontId="13" fillId="0" borderId="3" xfId="0" applyFont="1" applyBorder="1" applyAlignment="1">
      <alignment horizontal="center" vertical="center" textRotation="90"/>
    </xf>
    <xf numFmtId="165" fontId="15" fillId="0" borderId="67" xfId="20" applyFont="1" applyBorder="1" applyAlignment="1">
      <alignment horizontal="right" vertical="center"/>
    </xf>
    <xf numFmtId="165" fontId="15" fillId="0" borderId="5" xfId="20" applyFont="1" applyBorder="1" applyAlignment="1">
      <alignment horizontal="right" vertical="center"/>
    </xf>
    <xf numFmtId="165" fontId="15" fillId="0" borderId="66" xfId="20" applyFont="1" applyBorder="1" applyAlignment="1">
      <alignment horizontal="right" vertical="center"/>
    </xf>
    <xf numFmtId="165" fontId="15" fillId="0" borderId="55" xfId="20" applyFont="1" applyBorder="1" applyAlignment="1">
      <alignment horizontal="center" vertical="center"/>
    </xf>
    <xf numFmtId="165" fontId="15" fillId="0" borderId="47" xfId="20" applyFont="1" applyBorder="1" applyAlignment="1">
      <alignment horizontal="center" vertical="center"/>
    </xf>
    <xf numFmtId="165" fontId="15" fillId="0" borderId="48" xfId="20" applyFont="1" applyBorder="1" applyAlignment="1">
      <alignment horizontal="center" vertical="center"/>
    </xf>
    <xf numFmtId="165" fontId="30" fillId="14" borderId="99" xfId="20" applyFont="1" applyFill="1" applyBorder="1" applyAlignment="1">
      <alignment horizontal="left" vertical="center"/>
    </xf>
    <xf numFmtId="165" fontId="30" fillId="14" borderId="62" xfId="20" applyFont="1" applyFill="1" applyBorder="1" applyAlignment="1">
      <alignment horizontal="left" vertical="center"/>
    </xf>
    <xf numFmtId="165" fontId="30" fillId="14" borderId="67" xfId="20" applyFont="1" applyFill="1" applyBorder="1" applyAlignment="1">
      <alignment horizontal="left" vertical="center"/>
    </xf>
    <xf numFmtId="165" fontId="30" fillId="14" borderId="1" xfId="20" applyFont="1" applyFill="1" applyBorder="1" applyAlignment="1">
      <alignment horizontal="center" vertical="center"/>
    </xf>
    <xf numFmtId="165" fontId="30" fillId="14" borderId="93" xfId="20" applyFont="1" applyFill="1" applyBorder="1" applyAlignment="1">
      <alignment horizontal="center" vertical="center"/>
    </xf>
    <xf numFmtId="165" fontId="30" fillId="14" borderId="2" xfId="20" applyFont="1" applyFill="1" applyBorder="1" applyAlignment="1">
      <alignment horizontal="center" vertical="center"/>
    </xf>
    <xf numFmtId="165" fontId="30" fillId="14" borderId="13" xfId="20" applyFont="1" applyFill="1" applyBorder="1" applyAlignment="1">
      <alignment horizontal="center" vertical="center"/>
    </xf>
    <xf numFmtId="165" fontId="30" fillId="14" borderId="11" xfId="20" applyFont="1" applyFill="1" applyBorder="1" applyAlignment="1">
      <alignment horizontal="center" vertical="center"/>
    </xf>
    <xf numFmtId="49" fontId="30" fillId="14" borderId="27" xfId="20" applyNumberFormat="1" applyFont="1" applyFill="1" applyBorder="1" applyAlignment="1">
      <alignment horizontal="center" vertical="center" wrapText="1"/>
    </xf>
    <xf numFmtId="49" fontId="30" fillId="14" borderId="18" xfId="20" applyNumberFormat="1" applyFont="1" applyFill="1" applyBorder="1" applyAlignment="1">
      <alignment horizontal="center" vertical="center" wrapText="1"/>
    </xf>
    <xf numFmtId="165" fontId="30" fillId="14" borderId="27" xfId="20" applyFont="1" applyFill="1" applyBorder="1" applyAlignment="1">
      <alignment horizontal="center" vertical="center" textRotation="90"/>
    </xf>
    <xf numFmtId="165" fontId="30" fillId="14" borderId="18" xfId="20" applyFont="1" applyFill="1" applyBorder="1" applyAlignment="1">
      <alignment horizontal="center" vertical="center" textRotation="90"/>
    </xf>
    <xf numFmtId="165" fontId="30" fillId="14" borderId="108" xfId="20" applyFont="1" applyFill="1" applyBorder="1" applyAlignment="1">
      <alignment horizontal="center" vertical="center" wrapText="1"/>
    </xf>
    <xf numFmtId="165" fontId="30" fillId="14" borderId="107" xfId="20" applyFont="1" applyFill="1" applyBorder="1" applyAlignment="1">
      <alignment horizontal="center" vertical="center" wrapText="1"/>
    </xf>
    <xf numFmtId="165" fontId="30" fillId="14" borderId="27" xfId="20" applyFont="1" applyFill="1" applyBorder="1" applyAlignment="1">
      <alignment horizontal="center" vertical="center" wrapText="1"/>
    </xf>
    <xf numFmtId="165" fontId="30" fillId="14" borderId="18" xfId="20" applyFont="1" applyFill="1" applyBorder="1" applyAlignment="1">
      <alignment horizontal="center" vertical="center" wrapText="1"/>
    </xf>
    <xf numFmtId="165" fontId="30" fillId="14" borderId="14" xfId="20" applyFont="1" applyFill="1" applyBorder="1" applyAlignment="1">
      <alignment horizontal="center" vertical="center"/>
    </xf>
    <xf numFmtId="165" fontId="15" fillId="0" borderId="55" xfId="21" applyFont="1" applyBorder="1" applyAlignment="1">
      <alignment horizontal="center" vertical="center"/>
    </xf>
    <xf numFmtId="165" fontId="15" fillId="0" borderId="47" xfId="21" applyFont="1" applyBorder="1" applyAlignment="1">
      <alignment horizontal="center" vertical="center"/>
    </xf>
    <xf numFmtId="165" fontId="15" fillId="0" borderId="48" xfId="21" applyFont="1" applyBorder="1" applyAlignment="1">
      <alignment horizontal="center" vertical="center"/>
    </xf>
    <xf numFmtId="166" fontId="15" fillId="0" borderId="67" xfId="0" applyNumberFormat="1" applyFont="1" applyBorder="1" applyAlignment="1">
      <alignment horizontal="right" vertical="center"/>
    </xf>
    <xf numFmtId="166" fontId="15" fillId="0" borderId="5" xfId="0" applyNumberFormat="1" applyFont="1" applyBorder="1" applyAlignment="1">
      <alignment horizontal="right" vertical="center"/>
    </xf>
    <xf numFmtId="166" fontId="15" fillId="0" borderId="66" xfId="0" applyNumberFormat="1" applyFont="1" applyBorder="1" applyAlignment="1">
      <alignment horizontal="right" vertical="center"/>
    </xf>
    <xf numFmtId="165" fontId="30" fillId="14" borderId="99" xfId="21" applyFont="1" applyFill="1" applyBorder="1" applyAlignment="1">
      <alignment horizontal="left" vertical="center"/>
    </xf>
    <xf numFmtId="165" fontId="30" fillId="14" borderId="62" xfId="21" applyFont="1" applyFill="1" applyBorder="1" applyAlignment="1">
      <alignment horizontal="left" vertical="center"/>
    </xf>
    <xf numFmtId="165" fontId="30" fillId="14" borderId="100" xfId="21" applyFont="1" applyFill="1" applyBorder="1" applyAlignment="1">
      <alignment horizontal="left" vertical="center"/>
    </xf>
    <xf numFmtId="165" fontId="30" fillId="14" borderId="1" xfId="21" applyFont="1" applyFill="1" applyBorder="1" applyAlignment="1">
      <alignment horizontal="center" vertical="center"/>
    </xf>
    <xf numFmtId="165" fontId="30" fillId="14" borderId="2" xfId="21" applyFont="1" applyFill="1" applyBorder="1" applyAlignment="1">
      <alignment horizontal="center" vertical="center"/>
    </xf>
    <xf numFmtId="165" fontId="30" fillId="14" borderId="11" xfId="21" applyFont="1" applyFill="1" applyBorder="1" applyAlignment="1">
      <alignment horizontal="center" vertical="center"/>
    </xf>
    <xf numFmtId="165" fontId="30" fillId="14" borderId="93" xfId="21" applyFont="1" applyFill="1" applyBorder="1" applyAlignment="1">
      <alignment horizontal="center" vertical="center"/>
    </xf>
    <xf numFmtId="165" fontId="30" fillId="14" borderId="0" xfId="22" applyFont="1" applyFill="1" applyAlignment="1">
      <alignment horizontal="center" vertical="center" wrapText="1"/>
    </xf>
    <xf numFmtId="165" fontId="30" fillId="14" borderId="0" xfId="22" applyFont="1" applyFill="1" applyAlignment="1">
      <alignment horizontal="center" vertical="center"/>
    </xf>
    <xf numFmtId="165" fontId="30" fillId="14" borderId="12" xfId="22" applyFont="1" applyFill="1" applyBorder="1" applyAlignment="1">
      <alignment horizontal="center" vertical="center" wrapText="1"/>
    </xf>
    <xf numFmtId="165" fontId="30" fillId="14" borderId="14" xfId="22" applyFont="1" applyFill="1" applyBorder="1" applyAlignment="1">
      <alignment horizontal="center" vertical="center"/>
    </xf>
    <xf numFmtId="165" fontId="30" fillId="14" borderId="13" xfId="22" applyFont="1" applyFill="1" applyBorder="1" applyAlignment="1">
      <alignment horizontal="center" vertical="center" wrapText="1"/>
    </xf>
    <xf numFmtId="165" fontId="15" fillId="0" borderId="55" xfId="22" applyFont="1" applyBorder="1" applyAlignment="1">
      <alignment horizontal="center" vertical="center"/>
    </xf>
    <xf numFmtId="165" fontId="15" fillId="0" borderId="47" xfId="22" applyFont="1" applyBorder="1" applyAlignment="1">
      <alignment horizontal="center" vertical="center"/>
    </xf>
    <xf numFmtId="165" fontId="15" fillId="0" borderId="48" xfId="22" applyFont="1" applyBorder="1" applyAlignment="1">
      <alignment horizontal="center" vertical="center"/>
    </xf>
    <xf numFmtId="0" fontId="14" fillId="0" borderId="67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66" xfId="0" applyFont="1" applyBorder="1" applyAlignment="1">
      <alignment horizontal="right" vertical="center"/>
    </xf>
    <xf numFmtId="165" fontId="30" fillId="14" borderId="1" xfId="22" applyFont="1" applyFill="1" applyBorder="1" applyAlignment="1">
      <alignment horizontal="center" vertical="center"/>
    </xf>
    <xf numFmtId="165" fontId="30" fillId="14" borderId="2" xfId="22" applyFont="1" applyFill="1" applyBorder="1" applyAlignment="1">
      <alignment horizontal="center" vertical="center"/>
    </xf>
    <xf numFmtId="165" fontId="30" fillId="14" borderId="11" xfId="22" applyFont="1" applyFill="1" applyBorder="1" applyAlignment="1">
      <alignment horizontal="center" vertical="center"/>
    </xf>
    <xf numFmtId="166" fontId="30" fillId="14" borderId="12" xfId="22" applyNumberFormat="1" applyFont="1" applyFill="1" applyBorder="1" applyAlignment="1">
      <alignment horizontal="center" vertical="center" wrapText="1"/>
    </xf>
    <xf numFmtId="166" fontId="30" fillId="14" borderId="58" xfId="22" applyNumberFormat="1" applyFont="1" applyFill="1" applyBorder="1" applyAlignment="1">
      <alignment horizontal="center" vertical="center" wrapText="1"/>
    </xf>
    <xf numFmtId="166" fontId="30" fillId="14" borderId="8" xfId="22" applyNumberFormat="1" applyFont="1" applyFill="1" applyBorder="1" applyAlignment="1">
      <alignment horizontal="center" vertical="center" wrapText="1"/>
    </xf>
    <xf numFmtId="166" fontId="30" fillId="14" borderId="66" xfId="22" applyNumberFormat="1" applyFont="1" applyFill="1" applyBorder="1" applyAlignment="1">
      <alignment horizontal="center" vertical="center" wrapText="1"/>
    </xf>
    <xf numFmtId="165" fontId="30" fillId="14" borderId="12" xfId="22" applyFont="1" applyFill="1" applyBorder="1" applyAlignment="1">
      <alignment horizontal="center" vertical="center"/>
    </xf>
    <xf numFmtId="165" fontId="30" fillId="14" borderId="13" xfId="22" applyFont="1" applyFill="1" applyBorder="1" applyAlignment="1">
      <alignment horizontal="center" vertical="center"/>
    </xf>
    <xf numFmtId="165" fontId="15" fillId="0" borderId="55" xfId="23" applyFont="1" applyBorder="1" applyAlignment="1">
      <alignment horizontal="center" vertical="center"/>
    </xf>
    <xf numFmtId="165" fontId="15" fillId="0" borderId="47" xfId="23" applyFont="1" applyBorder="1" applyAlignment="1">
      <alignment horizontal="center" vertical="center"/>
    </xf>
    <xf numFmtId="165" fontId="15" fillId="0" borderId="48" xfId="23" applyFont="1" applyBorder="1" applyAlignment="1">
      <alignment horizontal="center" vertical="center"/>
    </xf>
    <xf numFmtId="165" fontId="30" fillId="14" borderId="1" xfId="23" applyFont="1" applyFill="1" applyBorder="1" applyAlignment="1">
      <alignment horizontal="center" vertical="center"/>
    </xf>
    <xf numFmtId="165" fontId="30" fillId="14" borderId="2" xfId="23" applyFont="1" applyFill="1" applyBorder="1" applyAlignment="1">
      <alignment horizontal="center" vertical="center"/>
    </xf>
    <xf numFmtId="165" fontId="30" fillId="14" borderId="11" xfId="23" applyFont="1" applyFill="1" applyBorder="1" applyAlignment="1">
      <alignment horizontal="center" vertical="center"/>
    </xf>
    <xf numFmtId="165" fontId="30" fillId="14" borderId="93" xfId="23" applyFont="1" applyFill="1" applyBorder="1" applyAlignment="1">
      <alignment horizontal="center" vertical="center"/>
    </xf>
    <xf numFmtId="165" fontId="15" fillId="0" borderId="67" xfId="23" applyFont="1" applyBorder="1" applyAlignment="1">
      <alignment horizontal="right" vertical="center"/>
    </xf>
    <xf numFmtId="165" fontId="15" fillId="0" borderId="5" xfId="23" applyFont="1" applyBorder="1" applyAlignment="1">
      <alignment horizontal="right" vertical="center"/>
    </xf>
    <xf numFmtId="165" fontId="15" fillId="0" borderId="66" xfId="23" applyFont="1" applyBorder="1" applyAlignment="1">
      <alignment horizontal="right" vertical="center"/>
    </xf>
    <xf numFmtId="165" fontId="30" fillId="14" borderId="99" xfId="23" applyFont="1" applyFill="1" applyBorder="1" applyAlignment="1">
      <alignment horizontal="left" vertical="center"/>
    </xf>
    <xf numFmtId="165" fontId="30" fillId="14" borderId="62" xfId="23" applyFont="1" applyFill="1" applyBorder="1" applyAlignment="1">
      <alignment horizontal="left" vertical="center"/>
    </xf>
    <xf numFmtId="165" fontId="30" fillId="14" borderId="1" xfId="24" applyFont="1" applyFill="1" applyBorder="1" applyAlignment="1">
      <alignment horizontal="center" vertical="center"/>
    </xf>
    <xf numFmtId="165" fontId="30" fillId="14" borderId="2" xfId="24" applyFont="1" applyFill="1" applyBorder="1" applyAlignment="1">
      <alignment horizontal="center" vertical="center"/>
    </xf>
    <xf numFmtId="165" fontId="30" fillId="14" borderId="93" xfId="24" applyFont="1" applyFill="1" applyBorder="1" applyAlignment="1">
      <alignment horizontal="center" vertical="center"/>
    </xf>
    <xf numFmtId="165" fontId="17" fillId="0" borderId="69" xfId="24" applyFont="1" applyBorder="1" applyAlignment="1">
      <alignment horizontal="center" vertical="center"/>
    </xf>
    <xf numFmtId="165" fontId="17" fillId="0" borderId="72" xfId="24" applyFont="1" applyBorder="1" applyAlignment="1">
      <alignment horizontal="center" vertical="center"/>
    </xf>
    <xf numFmtId="165" fontId="17" fillId="0" borderId="73" xfId="24" applyFont="1" applyBorder="1" applyAlignment="1">
      <alignment horizontal="center" vertical="center"/>
    </xf>
    <xf numFmtId="165" fontId="30" fillId="14" borderId="27" xfId="24" applyFont="1" applyFill="1" applyBorder="1" applyAlignment="1">
      <alignment horizontal="center" vertical="center" wrapText="1"/>
    </xf>
    <xf numFmtId="165" fontId="30" fillId="14" borderId="17" xfId="24" applyFont="1" applyFill="1" applyBorder="1" applyAlignment="1">
      <alignment horizontal="center" vertical="center" wrapText="1"/>
    </xf>
    <xf numFmtId="165" fontId="30" fillId="14" borderId="18" xfId="24" applyFont="1" applyFill="1" applyBorder="1" applyAlignment="1">
      <alignment horizontal="center" vertical="center" wrapText="1"/>
    </xf>
    <xf numFmtId="165" fontId="30" fillId="14" borderId="11" xfId="24" applyFont="1" applyFill="1" applyBorder="1" applyAlignment="1">
      <alignment horizontal="center" vertical="center"/>
    </xf>
    <xf numFmtId="165" fontId="30" fillId="14" borderId="99" xfId="24" applyFont="1" applyFill="1" applyBorder="1" applyAlignment="1">
      <alignment horizontal="left" vertical="center"/>
    </xf>
    <xf numFmtId="165" fontId="30" fillId="14" borderId="62" xfId="24" applyFont="1" applyFill="1" applyBorder="1" applyAlignment="1">
      <alignment horizontal="left" vertical="center"/>
    </xf>
    <xf numFmtId="165" fontId="30" fillId="14" borderId="100" xfId="24" applyFont="1" applyFill="1" applyBorder="1" applyAlignment="1">
      <alignment horizontal="left" vertical="center"/>
    </xf>
    <xf numFmtId="165" fontId="15" fillId="0" borderId="55" xfId="25" applyFont="1" applyBorder="1" applyAlignment="1">
      <alignment horizontal="center" vertical="center"/>
    </xf>
    <xf numFmtId="165" fontId="15" fillId="0" borderId="47" xfId="25" applyFont="1" applyBorder="1" applyAlignment="1">
      <alignment horizontal="center" vertical="center"/>
    </xf>
    <xf numFmtId="165" fontId="15" fillId="0" borderId="48" xfId="25" applyFont="1" applyBorder="1" applyAlignment="1">
      <alignment horizontal="center" vertical="center"/>
    </xf>
    <xf numFmtId="166" fontId="30" fillId="14" borderId="1" xfId="25" applyNumberFormat="1" applyFont="1" applyFill="1" applyBorder="1" applyAlignment="1">
      <alignment horizontal="center" vertical="center" wrapText="1"/>
    </xf>
    <xf numFmtId="166" fontId="30" fillId="14" borderId="2" xfId="25" applyNumberFormat="1" applyFont="1" applyFill="1" applyBorder="1" applyAlignment="1">
      <alignment horizontal="center" vertical="center" wrapText="1"/>
    </xf>
    <xf numFmtId="166" fontId="30" fillId="14" borderId="11" xfId="25" applyNumberFormat="1" applyFont="1" applyFill="1" applyBorder="1" applyAlignment="1">
      <alignment horizontal="center" vertical="center" wrapText="1"/>
    </xf>
    <xf numFmtId="166" fontId="30" fillId="14" borderId="93" xfId="25" applyNumberFormat="1" applyFont="1" applyFill="1" applyBorder="1" applyAlignment="1">
      <alignment horizontal="center" vertical="center" wrapText="1"/>
    </xf>
    <xf numFmtId="49" fontId="13" fillId="0" borderId="27" xfId="8" applyNumberFormat="1" applyFont="1" applyBorder="1" applyAlignment="1">
      <alignment vertical="center" wrapText="1"/>
    </xf>
    <xf numFmtId="49" fontId="13" fillId="0" borderId="18" xfId="8" applyNumberFormat="1" applyFont="1" applyBorder="1" applyAlignment="1">
      <alignment vertical="center" wrapText="1"/>
    </xf>
    <xf numFmtId="49" fontId="13" fillId="0" borderId="27" xfId="8" applyNumberFormat="1" applyFont="1" applyBorder="1" applyAlignment="1">
      <alignment horizontal="left" vertical="center"/>
    </xf>
    <xf numFmtId="49" fontId="13" fillId="0" borderId="17" xfId="8" applyNumberFormat="1" applyFont="1" applyBorder="1" applyAlignment="1">
      <alignment horizontal="left" vertical="center"/>
    </xf>
    <xf numFmtId="49" fontId="13" fillId="0" borderId="18" xfId="8" applyNumberFormat="1" applyFont="1" applyBorder="1" applyAlignment="1">
      <alignment horizontal="left" vertical="center"/>
    </xf>
    <xf numFmtId="166" fontId="13" fillId="0" borderId="14" xfId="8" applyNumberFormat="1" applyFont="1" applyBorder="1" applyAlignment="1">
      <alignment horizontal="left" vertical="center"/>
    </xf>
    <xf numFmtId="166" fontId="13" fillId="0" borderId="9" xfId="8" applyNumberFormat="1" applyFont="1" applyBorder="1" applyAlignment="1">
      <alignment horizontal="left" vertical="center"/>
    </xf>
    <xf numFmtId="166" fontId="13" fillId="0" borderId="27" xfId="8" applyNumberFormat="1" applyFont="1" applyBorder="1" applyAlignment="1">
      <alignment horizontal="left" vertical="center"/>
    </xf>
    <xf numFmtId="166" fontId="13" fillId="0" borderId="17" xfId="8" applyNumberFormat="1" applyFont="1" applyBorder="1" applyAlignment="1">
      <alignment horizontal="left" vertical="center"/>
    </xf>
    <xf numFmtId="166" fontId="13" fillId="0" borderId="18" xfId="8" applyNumberFormat="1" applyFont="1" applyBorder="1" applyAlignment="1">
      <alignment horizontal="left" vertical="center"/>
    </xf>
    <xf numFmtId="49" fontId="13" fillId="0" borderId="27" xfId="8" applyNumberFormat="1" applyFont="1" applyBorder="1" applyAlignment="1">
      <alignment horizontal="left" vertical="center" wrapText="1"/>
    </xf>
    <xf numFmtId="49" fontId="13" fillId="0" borderId="18" xfId="8" applyNumberFormat="1" applyFont="1" applyBorder="1" applyAlignment="1">
      <alignment horizontal="left" vertical="center" wrapText="1"/>
    </xf>
    <xf numFmtId="49" fontId="13" fillId="0" borderId="17" xfId="8" applyNumberFormat="1" applyFont="1" applyBorder="1" applyAlignment="1">
      <alignment vertical="center" wrapText="1"/>
    </xf>
    <xf numFmtId="49" fontId="13" fillId="0" borderId="27" xfId="8" applyNumberFormat="1" applyFont="1" applyBorder="1" applyAlignment="1">
      <alignment horizontal="center" vertical="center" wrapText="1"/>
    </xf>
    <xf numFmtId="49" fontId="13" fillId="0" borderId="17" xfId="8" applyNumberFormat="1" applyFont="1" applyBorder="1" applyAlignment="1">
      <alignment horizontal="center" vertical="center" wrapText="1"/>
    </xf>
    <xf numFmtId="49" fontId="13" fillId="0" borderId="18" xfId="8" applyNumberFormat="1" applyFont="1" applyBorder="1" applyAlignment="1">
      <alignment horizontal="center" vertical="center" wrapText="1"/>
    </xf>
    <xf numFmtId="166" fontId="30" fillId="14" borderId="1" xfId="8" applyNumberFormat="1" applyFont="1" applyFill="1" applyBorder="1" applyAlignment="1">
      <alignment horizontal="center" vertical="center"/>
    </xf>
    <xf numFmtId="166" fontId="30" fillId="14" borderId="2" xfId="8" applyNumberFormat="1" applyFont="1" applyFill="1" applyBorder="1" applyAlignment="1">
      <alignment horizontal="center" vertical="center"/>
    </xf>
    <xf numFmtId="166" fontId="30" fillId="14" borderId="11" xfId="8" applyNumberFormat="1" applyFont="1" applyFill="1" applyBorder="1" applyAlignment="1">
      <alignment horizontal="center" vertical="center"/>
    </xf>
    <xf numFmtId="49" fontId="13" fillId="0" borderId="17" xfId="8" applyNumberFormat="1" applyFont="1" applyBorder="1" applyAlignment="1">
      <alignment horizontal="left" vertical="center" wrapText="1"/>
    </xf>
    <xf numFmtId="49" fontId="13" fillId="0" borderId="27" xfId="8" applyNumberFormat="1" applyFont="1" applyBorder="1" applyAlignment="1">
      <alignment vertical="center"/>
    </xf>
    <xf numFmtId="49" fontId="13" fillId="0" borderId="17" xfId="8" applyNumberFormat="1" applyFont="1" applyBorder="1" applyAlignment="1">
      <alignment vertical="center"/>
    </xf>
    <xf numFmtId="49" fontId="13" fillId="0" borderId="18" xfId="8" applyNumberFormat="1" applyFont="1" applyBorder="1" applyAlignment="1">
      <alignment vertical="center"/>
    </xf>
    <xf numFmtId="0" fontId="13" fillId="0" borderId="17" xfId="8" applyFont="1" applyBorder="1" applyAlignment="1">
      <alignment vertical="center" wrapText="1"/>
    </xf>
    <xf numFmtId="0" fontId="13" fillId="0" borderId="18" xfId="8" applyFont="1" applyBorder="1" applyAlignment="1">
      <alignment vertical="center" wrapText="1"/>
    </xf>
    <xf numFmtId="49" fontId="31" fillId="0" borderId="55" xfId="8" applyNumberFormat="1" applyFont="1" applyBorder="1" applyAlignment="1">
      <alignment horizontal="center" vertical="center" wrapText="1"/>
    </xf>
    <xf numFmtId="49" fontId="31" fillId="0" borderId="47" xfId="8" applyNumberFormat="1" applyFont="1" applyBorder="1" applyAlignment="1">
      <alignment horizontal="center" vertical="center" wrapText="1"/>
    </xf>
    <xf numFmtId="49" fontId="31" fillId="0" borderId="48" xfId="8" applyNumberFormat="1" applyFont="1" applyBorder="1" applyAlignment="1">
      <alignment horizontal="center" vertical="center" wrapText="1"/>
    </xf>
    <xf numFmtId="0" fontId="15" fillId="0" borderId="67" xfId="8" applyFont="1" applyBorder="1" applyAlignment="1">
      <alignment horizontal="right" vertical="center"/>
    </xf>
    <xf numFmtId="0" fontId="15" fillId="0" borderId="5" xfId="8" applyFont="1" applyBorder="1" applyAlignment="1">
      <alignment horizontal="right" vertical="center"/>
    </xf>
    <xf numFmtId="0" fontId="15" fillId="0" borderId="66" xfId="8" applyFont="1" applyBorder="1" applyAlignment="1">
      <alignment horizontal="right" vertical="center"/>
    </xf>
    <xf numFmtId="49" fontId="30" fillId="14" borderId="99" xfId="8" applyNumberFormat="1" applyFont="1" applyFill="1" applyBorder="1" applyAlignment="1">
      <alignment horizontal="left" vertical="center" wrapText="1"/>
    </xf>
    <xf numFmtId="49" fontId="30" fillId="14" borderId="62" xfId="8" applyNumberFormat="1" applyFont="1" applyFill="1" applyBorder="1" applyAlignment="1">
      <alignment horizontal="left" vertical="center" wrapText="1"/>
    </xf>
    <xf numFmtId="49" fontId="30" fillId="14" borderId="3" xfId="8" applyNumberFormat="1" applyFont="1" applyFill="1" applyBorder="1" applyAlignment="1">
      <alignment horizontal="center" vertical="center" wrapText="1"/>
    </xf>
    <xf numFmtId="49" fontId="30" fillId="14" borderId="27" xfId="8" applyNumberFormat="1" applyFont="1" applyFill="1" applyBorder="1" applyAlignment="1">
      <alignment horizontal="center" vertical="center" wrapText="1"/>
    </xf>
    <xf numFmtId="49" fontId="30" fillId="14" borderId="3" xfId="8" applyNumberFormat="1" applyFont="1" applyFill="1" applyBorder="1" applyAlignment="1">
      <alignment horizontal="left" vertical="center" wrapText="1"/>
    </xf>
    <xf numFmtId="49" fontId="30" fillId="14" borderId="27" xfId="8" applyNumberFormat="1" applyFont="1" applyFill="1" applyBorder="1" applyAlignment="1">
      <alignment horizontal="left" vertical="center" wrapText="1"/>
    </xf>
  </cellXfs>
  <cellStyles count="204">
    <cellStyle name="20% - Accent1 2" xfId="35" xr:uid="{00000000-0005-0000-0000-000000000000}"/>
    <cellStyle name="20% - Accent1 3" xfId="36" xr:uid="{00000000-0005-0000-0000-000001000000}"/>
    <cellStyle name="20% - Accent1 4" xfId="37" xr:uid="{00000000-0005-0000-0000-000002000000}"/>
    <cellStyle name="20% - Accent1 5" xfId="38" xr:uid="{00000000-0005-0000-0000-000003000000}"/>
    <cellStyle name="20% - Accent2 2" xfId="39" xr:uid="{00000000-0005-0000-0000-000004000000}"/>
    <cellStyle name="20% - Accent2 3" xfId="40" xr:uid="{00000000-0005-0000-0000-000005000000}"/>
    <cellStyle name="20% - Accent2 4" xfId="41" xr:uid="{00000000-0005-0000-0000-000006000000}"/>
    <cellStyle name="20% - Accent2 5" xfId="42" xr:uid="{00000000-0005-0000-0000-000007000000}"/>
    <cellStyle name="20% - Accent3 2" xfId="43" xr:uid="{00000000-0005-0000-0000-000008000000}"/>
    <cellStyle name="20% - Accent3 3" xfId="44" xr:uid="{00000000-0005-0000-0000-000009000000}"/>
    <cellStyle name="20% - Accent3 4" xfId="45" xr:uid="{00000000-0005-0000-0000-00000A000000}"/>
    <cellStyle name="20% - Accent3 5" xfId="46" xr:uid="{00000000-0005-0000-0000-00000B000000}"/>
    <cellStyle name="20% - Accent4 2" xfId="47" xr:uid="{00000000-0005-0000-0000-00000C000000}"/>
    <cellStyle name="20% - Accent4 3" xfId="48" xr:uid="{00000000-0005-0000-0000-00000D000000}"/>
    <cellStyle name="20% - Accent4 4" xfId="49" xr:uid="{00000000-0005-0000-0000-00000E000000}"/>
    <cellStyle name="20% - Accent4 5" xfId="50" xr:uid="{00000000-0005-0000-0000-00000F000000}"/>
    <cellStyle name="20% - Accent5 2" xfId="51" xr:uid="{00000000-0005-0000-0000-000010000000}"/>
    <cellStyle name="20% - Accent5 3" xfId="52" xr:uid="{00000000-0005-0000-0000-000011000000}"/>
    <cellStyle name="20% - Accent5 4" xfId="53" xr:uid="{00000000-0005-0000-0000-000012000000}"/>
    <cellStyle name="20% - Accent5 5" xfId="54" xr:uid="{00000000-0005-0000-0000-000013000000}"/>
    <cellStyle name="20% - Accent6 2" xfId="55" xr:uid="{00000000-0005-0000-0000-000014000000}"/>
    <cellStyle name="20% - Accent6 3" xfId="56" xr:uid="{00000000-0005-0000-0000-000015000000}"/>
    <cellStyle name="20% - Accent6 4" xfId="57" xr:uid="{00000000-0005-0000-0000-000016000000}"/>
    <cellStyle name="20% - Accent6 5" xfId="58" xr:uid="{00000000-0005-0000-0000-000017000000}"/>
    <cellStyle name="40% - Accent1 2" xfId="59" xr:uid="{00000000-0005-0000-0000-000018000000}"/>
    <cellStyle name="40% - Accent1 3" xfId="60" xr:uid="{00000000-0005-0000-0000-000019000000}"/>
    <cellStyle name="40% - Accent1 4" xfId="61" xr:uid="{00000000-0005-0000-0000-00001A000000}"/>
    <cellStyle name="40% - Accent1 5" xfId="62" xr:uid="{00000000-0005-0000-0000-00001B000000}"/>
    <cellStyle name="40% - Accent2 2" xfId="63" xr:uid="{00000000-0005-0000-0000-00001C000000}"/>
    <cellStyle name="40% - Accent2 3" xfId="64" xr:uid="{00000000-0005-0000-0000-00001D000000}"/>
    <cellStyle name="40% - Accent2 4" xfId="65" xr:uid="{00000000-0005-0000-0000-00001E000000}"/>
    <cellStyle name="40% - Accent2 5" xfId="66" xr:uid="{00000000-0005-0000-0000-00001F000000}"/>
    <cellStyle name="40% - Accent3 2" xfId="67" xr:uid="{00000000-0005-0000-0000-000020000000}"/>
    <cellStyle name="40% - Accent3 3" xfId="68" xr:uid="{00000000-0005-0000-0000-000021000000}"/>
    <cellStyle name="40% - Accent3 4" xfId="69" xr:uid="{00000000-0005-0000-0000-000022000000}"/>
    <cellStyle name="40% - Accent3 5" xfId="70" xr:uid="{00000000-0005-0000-0000-000023000000}"/>
    <cellStyle name="40% - Accent4 2" xfId="71" xr:uid="{00000000-0005-0000-0000-000024000000}"/>
    <cellStyle name="40% - Accent4 3" xfId="72" xr:uid="{00000000-0005-0000-0000-000025000000}"/>
    <cellStyle name="40% - Accent4 4" xfId="73" xr:uid="{00000000-0005-0000-0000-000026000000}"/>
    <cellStyle name="40% - Accent4 5" xfId="74" xr:uid="{00000000-0005-0000-0000-000027000000}"/>
    <cellStyle name="40% - Accent5 2" xfId="75" xr:uid="{00000000-0005-0000-0000-000028000000}"/>
    <cellStyle name="40% - Accent5 3" xfId="76" xr:uid="{00000000-0005-0000-0000-000029000000}"/>
    <cellStyle name="40% - Accent5 4" xfId="77" xr:uid="{00000000-0005-0000-0000-00002A000000}"/>
    <cellStyle name="40% - Accent5 5" xfId="78" xr:uid="{00000000-0005-0000-0000-00002B000000}"/>
    <cellStyle name="40% - Accent6 2" xfId="79" xr:uid="{00000000-0005-0000-0000-00002C000000}"/>
    <cellStyle name="40% - Accent6 3" xfId="80" xr:uid="{00000000-0005-0000-0000-00002D000000}"/>
    <cellStyle name="40% - Accent6 4" xfId="81" xr:uid="{00000000-0005-0000-0000-00002E000000}"/>
    <cellStyle name="40% - Accent6 5" xfId="82" xr:uid="{00000000-0005-0000-0000-00002F000000}"/>
    <cellStyle name="60% - Accent1 2" xfId="83" xr:uid="{00000000-0005-0000-0000-000030000000}"/>
    <cellStyle name="60% - Accent1 3" xfId="84" xr:uid="{00000000-0005-0000-0000-000031000000}"/>
    <cellStyle name="60% - Accent1 4" xfId="85" xr:uid="{00000000-0005-0000-0000-000032000000}"/>
    <cellStyle name="60% - Accent1 5" xfId="86" xr:uid="{00000000-0005-0000-0000-000033000000}"/>
    <cellStyle name="60% - Accent2 2" xfId="87" xr:uid="{00000000-0005-0000-0000-000034000000}"/>
    <cellStyle name="60% - Accent2 3" xfId="88" xr:uid="{00000000-0005-0000-0000-000035000000}"/>
    <cellStyle name="60% - Accent2 4" xfId="89" xr:uid="{00000000-0005-0000-0000-000036000000}"/>
    <cellStyle name="60% - Accent2 5" xfId="90" xr:uid="{00000000-0005-0000-0000-000037000000}"/>
    <cellStyle name="60% - Accent3 2" xfId="91" xr:uid="{00000000-0005-0000-0000-000038000000}"/>
    <cellStyle name="60% - Accent3 3" xfId="92" xr:uid="{00000000-0005-0000-0000-000039000000}"/>
    <cellStyle name="60% - Accent3 4" xfId="93" xr:uid="{00000000-0005-0000-0000-00003A000000}"/>
    <cellStyle name="60% - Accent3 5" xfId="94" xr:uid="{00000000-0005-0000-0000-00003B000000}"/>
    <cellStyle name="60% - Accent4 2" xfId="95" xr:uid="{00000000-0005-0000-0000-00003C000000}"/>
    <cellStyle name="60% - Accent4 3" xfId="96" xr:uid="{00000000-0005-0000-0000-00003D000000}"/>
    <cellStyle name="60% - Accent4 4" xfId="97" xr:uid="{00000000-0005-0000-0000-00003E000000}"/>
    <cellStyle name="60% - Accent4 5" xfId="98" xr:uid="{00000000-0005-0000-0000-00003F000000}"/>
    <cellStyle name="60% - Accent5 2" xfId="99" xr:uid="{00000000-0005-0000-0000-000040000000}"/>
    <cellStyle name="60% - Accent5 3" xfId="100" xr:uid="{00000000-0005-0000-0000-000041000000}"/>
    <cellStyle name="60% - Accent5 4" xfId="101" xr:uid="{00000000-0005-0000-0000-000042000000}"/>
    <cellStyle name="60% - Accent5 5" xfId="102" xr:uid="{00000000-0005-0000-0000-000043000000}"/>
    <cellStyle name="60% - Accent6 2" xfId="103" xr:uid="{00000000-0005-0000-0000-000044000000}"/>
    <cellStyle name="60% - Accent6 3" xfId="104" xr:uid="{00000000-0005-0000-0000-000045000000}"/>
    <cellStyle name="60% - Accent6 4" xfId="105" xr:uid="{00000000-0005-0000-0000-000046000000}"/>
    <cellStyle name="60% - Accent6 5" xfId="106" xr:uid="{00000000-0005-0000-0000-000047000000}"/>
    <cellStyle name="Accent1 2" xfId="107" xr:uid="{00000000-0005-0000-0000-000048000000}"/>
    <cellStyle name="Accent1 3" xfId="108" xr:uid="{00000000-0005-0000-0000-000049000000}"/>
    <cellStyle name="Accent1 4" xfId="109" xr:uid="{00000000-0005-0000-0000-00004A000000}"/>
    <cellStyle name="Accent1 5" xfId="110" xr:uid="{00000000-0005-0000-0000-00004B000000}"/>
    <cellStyle name="Accent2 2" xfId="111" xr:uid="{00000000-0005-0000-0000-00004C000000}"/>
    <cellStyle name="Accent2 3" xfId="112" xr:uid="{00000000-0005-0000-0000-00004D000000}"/>
    <cellStyle name="Accent2 4" xfId="113" xr:uid="{00000000-0005-0000-0000-00004E000000}"/>
    <cellStyle name="Accent2 5" xfId="114" xr:uid="{00000000-0005-0000-0000-00004F000000}"/>
    <cellStyle name="Accent3 2" xfId="115" xr:uid="{00000000-0005-0000-0000-000050000000}"/>
    <cellStyle name="Accent3 3" xfId="116" xr:uid="{00000000-0005-0000-0000-000051000000}"/>
    <cellStyle name="Accent3 4" xfId="117" xr:uid="{00000000-0005-0000-0000-000052000000}"/>
    <cellStyle name="Accent3 5" xfId="118" xr:uid="{00000000-0005-0000-0000-000053000000}"/>
    <cellStyle name="Accent4 2" xfId="119" xr:uid="{00000000-0005-0000-0000-000054000000}"/>
    <cellStyle name="Accent4 3" xfId="120" xr:uid="{00000000-0005-0000-0000-000055000000}"/>
    <cellStyle name="Accent4 4" xfId="121" xr:uid="{00000000-0005-0000-0000-000056000000}"/>
    <cellStyle name="Accent4 5" xfId="122" xr:uid="{00000000-0005-0000-0000-000057000000}"/>
    <cellStyle name="Accent5 2" xfId="123" xr:uid="{00000000-0005-0000-0000-000058000000}"/>
    <cellStyle name="Accent5 3" xfId="124" xr:uid="{00000000-0005-0000-0000-000059000000}"/>
    <cellStyle name="Accent5 4" xfId="125" xr:uid="{00000000-0005-0000-0000-00005A000000}"/>
    <cellStyle name="Accent5 5" xfId="126" xr:uid="{00000000-0005-0000-0000-00005B000000}"/>
    <cellStyle name="Accent6 2" xfId="127" xr:uid="{00000000-0005-0000-0000-00005C000000}"/>
    <cellStyle name="Accent6 3" xfId="128" xr:uid="{00000000-0005-0000-0000-00005D000000}"/>
    <cellStyle name="Accent6 4" xfId="129" xr:uid="{00000000-0005-0000-0000-00005E000000}"/>
    <cellStyle name="Accent6 5" xfId="130" xr:uid="{00000000-0005-0000-0000-00005F000000}"/>
    <cellStyle name="Bad 2" xfId="131" xr:uid="{00000000-0005-0000-0000-000060000000}"/>
    <cellStyle name="Bad 3" xfId="132" xr:uid="{00000000-0005-0000-0000-000061000000}"/>
    <cellStyle name="Bad 4" xfId="133" xr:uid="{00000000-0005-0000-0000-000062000000}"/>
    <cellStyle name="Bad 5" xfId="134" xr:uid="{00000000-0005-0000-0000-000063000000}"/>
    <cellStyle name="Calculation 2" xfId="135" xr:uid="{00000000-0005-0000-0000-000064000000}"/>
    <cellStyle name="Calculation 3" xfId="136" xr:uid="{00000000-0005-0000-0000-000065000000}"/>
    <cellStyle name="Calculation 4" xfId="137" xr:uid="{00000000-0005-0000-0000-000066000000}"/>
    <cellStyle name="Calculation 5" xfId="138" xr:uid="{00000000-0005-0000-0000-000067000000}"/>
    <cellStyle name="Check Cell 2" xfId="139" xr:uid="{00000000-0005-0000-0000-000068000000}"/>
    <cellStyle name="Check Cell 3" xfId="140" xr:uid="{00000000-0005-0000-0000-000069000000}"/>
    <cellStyle name="Check Cell 4" xfId="141" xr:uid="{00000000-0005-0000-0000-00006A000000}"/>
    <cellStyle name="Check Cell 5" xfId="142" xr:uid="{00000000-0005-0000-0000-00006B000000}"/>
    <cellStyle name="Excel Built-in Normal" xfId="1" xr:uid="{00000000-0005-0000-0000-00006C000000}"/>
    <cellStyle name="Explanatory Text 2" xfId="143" xr:uid="{00000000-0005-0000-0000-00006D000000}"/>
    <cellStyle name="Explanatory Text 3" xfId="144" xr:uid="{00000000-0005-0000-0000-00006E000000}"/>
    <cellStyle name="Explanatory Text 4" xfId="145" xr:uid="{00000000-0005-0000-0000-00006F000000}"/>
    <cellStyle name="Explanatory Text 5" xfId="146" xr:uid="{00000000-0005-0000-0000-000070000000}"/>
    <cellStyle name="Good 2" xfId="147" xr:uid="{00000000-0005-0000-0000-000071000000}"/>
    <cellStyle name="Good 3" xfId="148" xr:uid="{00000000-0005-0000-0000-000072000000}"/>
    <cellStyle name="Good 4" xfId="149" xr:uid="{00000000-0005-0000-0000-000073000000}"/>
    <cellStyle name="Good 5" xfId="150" xr:uid="{00000000-0005-0000-0000-000074000000}"/>
    <cellStyle name="Heading 1 2" xfId="151" xr:uid="{00000000-0005-0000-0000-000075000000}"/>
    <cellStyle name="Heading 1 3" xfId="152" xr:uid="{00000000-0005-0000-0000-000076000000}"/>
    <cellStyle name="Heading 1 4" xfId="153" xr:uid="{00000000-0005-0000-0000-000077000000}"/>
    <cellStyle name="Heading 1 5" xfId="154" xr:uid="{00000000-0005-0000-0000-000078000000}"/>
    <cellStyle name="Heading 2 2" xfId="155" xr:uid="{00000000-0005-0000-0000-000079000000}"/>
    <cellStyle name="Heading 2 3" xfId="156" xr:uid="{00000000-0005-0000-0000-00007A000000}"/>
    <cellStyle name="Heading 2 4" xfId="157" xr:uid="{00000000-0005-0000-0000-00007B000000}"/>
    <cellStyle name="Heading 2 5" xfId="158" xr:uid="{00000000-0005-0000-0000-00007C000000}"/>
    <cellStyle name="Heading 3 2" xfId="159" xr:uid="{00000000-0005-0000-0000-00007D000000}"/>
    <cellStyle name="Heading 3 3" xfId="160" xr:uid="{00000000-0005-0000-0000-00007E000000}"/>
    <cellStyle name="Heading 3 4" xfId="161" xr:uid="{00000000-0005-0000-0000-00007F000000}"/>
    <cellStyle name="Heading 3 5" xfId="162" xr:uid="{00000000-0005-0000-0000-000080000000}"/>
    <cellStyle name="Heading 4 2" xfId="163" xr:uid="{00000000-0005-0000-0000-000081000000}"/>
    <cellStyle name="Heading 4 3" xfId="164" xr:uid="{00000000-0005-0000-0000-000082000000}"/>
    <cellStyle name="Heading 4 4" xfId="165" xr:uid="{00000000-0005-0000-0000-000083000000}"/>
    <cellStyle name="Heading 4 5" xfId="166" xr:uid="{00000000-0005-0000-0000-000084000000}"/>
    <cellStyle name="Hyperlink 2" xfId="167" xr:uid="{00000000-0005-0000-0000-000085000000}"/>
    <cellStyle name="Input 2" xfId="168" xr:uid="{00000000-0005-0000-0000-000086000000}"/>
    <cellStyle name="Input 3" xfId="169" xr:uid="{00000000-0005-0000-0000-000087000000}"/>
    <cellStyle name="Input 4" xfId="170" xr:uid="{00000000-0005-0000-0000-000088000000}"/>
    <cellStyle name="Input 5" xfId="171" xr:uid="{00000000-0005-0000-0000-000089000000}"/>
    <cellStyle name="Linked Cell 2" xfId="172" xr:uid="{00000000-0005-0000-0000-00008A000000}"/>
    <cellStyle name="Linked Cell 3" xfId="173" xr:uid="{00000000-0005-0000-0000-00008B000000}"/>
    <cellStyle name="Linked Cell 4" xfId="174" xr:uid="{00000000-0005-0000-0000-00008C000000}"/>
    <cellStyle name="Linked Cell 5" xfId="175" xr:uid="{00000000-0005-0000-0000-00008D000000}"/>
    <cellStyle name="Neutral 2" xfId="176" xr:uid="{00000000-0005-0000-0000-00008E000000}"/>
    <cellStyle name="Neutral 3" xfId="177" xr:uid="{00000000-0005-0000-0000-00008F000000}"/>
    <cellStyle name="Neutral 4" xfId="178" xr:uid="{00000000-0005-0000-0000-000090000000}"/>
    <cellStyle name="Neutral 5" xfId="179" xr:uid="{00000000-0005-0000-0000-000091000000}"/>
    <cellStyle name="Normal" xfId="0" builtinId="0"/>
    <cellStyle name="Normal 11" xfId="2" xr:uid="{00000000-0005-0000-0000-000093000000}"/>
    <cellStyle name="Normal 12" xfId="3" xr:uid="{00000000-0005-0000-0000-000094000000}"/>
    <cellStyle name="Normal 13" xfId="4" xr:uid="{00000000-0005-0000-0000-000095000000}"/>
    <cellStyle name="Normal 14" xfId="5" xr:uid="{00000000-0005-0000-0000-000096000000}"/>
    <cellStyle name="Normal 15" xfId="6" xr:uid="{00000000-0005-0000-0000-000097000000}"/>
    <cellStyle name="Normal 16" xfId="7" xr:uid="{00000000-0005-0000-0000-000098000000}"/>
    <cellStyle name="Normal 19 2" xfId="31" xr:uid="{00000000-0005-0000-0000-000099000000}"/>
    <cellStyle name="Normal 2" xfId="8" xr:uid="{00000000-0005-0000-0000-00009A000000}"/>
    <cellStyle name="Normal 2 2" xfId="9" xr:uid="{00000000-0005-0000-0000-00009B000000}"/>
    <cellStyle name="Normal 2 3" xfId="10" xr:uid="{00000000-0005-0000-0000-00009C000000}"/>
    <cellStyle name="Normal 2 4" xfId="11" xr:uid="{00000000-0005-0000-0000-00009D000000}"/>
    <cellStyle name="Normal 2 5" xfId="12" xr:uid="{00000000-0005-0000-0000-00009E000000}"/>
    <cellStyle name="Normal 3" xfId="13" xr:uid="{00000000-0005-0000-0000-00009F000000}"/>
    <cellStyle name="Normal 3 2" xfId="14" xr:uid="{00000000-0005-0000-0000-0000A0000000}"/>
    <cellStyle name="Normal 3 2 2" xfId="32" xr:uid="{00000000-0005-0000-0000-0000A1000000}"/>
    <cellStyle name="Normal 3 3" xfId="180" xr:uid="{00000000-0005-0000-0000-0000A2000000}"/>
    <cellStyle name="Normal 4" xfId="15" xr:uid="{00000000-0005-0000-0000-0000A3000000}"/>
    <cellStyle name="Normal 4 2" xfId="16" xr:uid="{00000000-0005-0000-0000-0000A4000000}"/>
    <cellStyle name="Normal 4 3" xfId="181" xr:uid="{00000000-0005-0000-0000-0000A5000000}"/>
    <cellStyle name="Normal 5" xfId="17" xr:uid="{00000000-0005-0000-0000-0000A6000000}"/>
    <cellStyle name="Normal 5 2" xfId="182" xr:uid="{00000000-0005-0000-0000-0000A7000000}"/>
    <cellStyle name="Normal 6" xfId="18" xr:uid="{00000000-0005-0000-0000-0000A8000000}"/>
    <cellStyle name="Normal 7" xfId="183" xr:uid="{00000000-0005-0000-0000-0000A9000000}"/>
    <cellStyle name="Normal_CD_2Master-Res0607 2 2" xfId="34" xr:uid="{00000000-0005-0000-0000-0000AA000000}"/>
    <cellStyle name="Normal_T308&amp;902" xfId="19" xr:uid="{00000000-0005-0000-0000-0000AB000000}"/>
    <cellStyle name="Normal_T31402" xfId="20" xr:uid="{00000000-0005-0000-0000-0000AC000000}"/>
    <cellStyle name="Normal_T31502" xfId="21" xr:uid="{00000000-0005-0000-0000-0000AD000000}"/>
    <cellStyle name="Normal_T31602" xfId="22" xr:uid="{00000000-0005-0000-0000-0000AE000000}"/>
    <cellStyle name="Normal_T31702" xfId="23" xr:uid="{00000000-0005-0000-0000-0000AF000000}"/>
    <cellStyle name="Normal_T319&amp;2002" xfId="24" xr:uid="{00000000-0005-0000-0000-0000B0000000}"/>
    <cellStyle name="Normal_T321&amp;2202" xfId="25" xr:uid="{00000000-0005-0000-0000-0000B1000000}"/>
    <cellStyle name="Note 2" xfId="184" xr:uid="{00000000-0005-0000-0000-0000B2000000}"/>
    <cellStyle name="Note 3" xfId="185" xr:uid="{00000000-0005-0000-0000-0000B3000000}"/>
    <cellStyle name="Note 4" xfId="186" xr:uid="{00000000-0005-0000-0000-0000B4000000}"/>
    <cellStyle name="Note 5" xfId="187" xr:uid="{00000000-0005-0000-0000-0000B5000000}"/>
    <cellStyle name="Output 2" xfId="188" xr:uid="{00000000-0005-0000-0000-0000B6000000}"/>
    <cellStyle name="Output 3" xfId="189" xr:uid="{00000000-0005-0000-0000-0000B7000000}"/>
    <cellStyle name="Output 4" xfId="190" xr:uid="{00000000-0005-0000-0000-0000B8000000}"/>
    <cellStyle name="Output 5" xfId="191" xr:uid="{00000000-0005-0000-0000-0000B9000000}"/>
    <cellStyle name="Percent 2" xfId="26" xr:uid="{00000000-0005-0000-0000-0000BA000000}"/>
    <cellStyle name="Percent 2 2" xfId="33" xr:uid="{00000000-0005-0000-0000-0000BB000000}"/>
    <cellStyle name="Percent 3" xfId="27" xr:uid="{00000000-0005-0000-0000-0000BC000000}"/>
    <cellStyle name="Percent 3 2" xfId="28" xr:uid="{00000000-0005-0000-0000-0000BD000000}"/>
    <cellStyle name="Percent 4" xfId="29" xr:uid="{00000000-0005-0000-0000-0000BE000000}"/>
    <cellStyle name="Percent 5" xfId="30" xr:uid="{00000000-0005-0000-0000-0000BF000000}"/>
    <cellStyle name="Title 2" xfId="192" xr:uid="{00000000-0005-0000-0000-0000C0000000}"/>
    <cellStyle name="Title 3" xfId="193" xr:uid="{00000000-0005-0000-0000-0000C1000000}"/>
    <cellStyle name="Title 4" xfId="194" xr:uid="{00000000-0005-0000-0000-0000C2000000}"/>
    <cellStyle name="Title 5" xfId="195" xr:uid="{00000000-0005-0000-0000-0000C3000000}"/>
    <cellStyle name="Total 2" xfId="196" xr:uid="{00000000-0005-0000-0000-0000C4000000}"/>
    <cellStyle name="Total 3" xfId="197" xr:uid="{00000000-0005-0000-0000-0000C5000000}"/>
    <cellStyle name="Total 4" xfId="198" xr:uid="{00000000-0005-0000-0000-0000C6000000}"/>
    <cellStyle name="Total 5" xfId="199" xr:uid="{00000000-0005-0000-0000-0000C7000000}"/>
    <cellStyle name="Warning Text 2" xfId="200" xr:uid="{00000000-0005-0000-0000-0000C8000000}"/>
    <cellStyle name="Warning Text 3" xfId="201" xr:uid="{00000000-0005-0000-0000-0000C9000000}"/>
    <cellStyle name="Warning Text 4" xfId="202" xr:uid="{00000000-0005-0000-0000-0000CA000000}"/>
    <cellStyle name="Warning Text 5" xfId="203" xr:uid="{00000000-0005-0000-0000-0000CB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  <tableStyle name="Table Style 3" pivot="0" count="1" xr9:uid="{00000000-0011-0000-FFFF-FFFF02000000}">
      <tableStyleElement type="wholeTable" dxfId="4"/>
    </tableStyle>
  </tableStyles>
  <colors>
    <mruColors>
      <color rgb="FF31869B"/>
      <color rgb="FF800080"/>
      <color rgb="FF0000FF"/>
      <color rgb="FF006600"/>
      <color rgb="FFFCD5B5"/>
      <color rgb="FF0096C8"/>
      <color rgb="FF008BBC"/>
      <color rgb="FF0099CC"/>
      <color rgb="FF0070C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46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CD-14-15_220316\Coal%20Directory%20Final%2014-15\05-Stock\05_Pit%20Head%20Closing%20Stock_14-15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cer\Desktop\CD-20-21\Coal%20Directory%202020-21_Final\05-Stock\05_Pit%20Head%20Closing%20Stock_20-21_Am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cer\Desktop\CD-20-21\Coal%20Directory%202020-21_Final\04-Despatch\04_Despatch%20&amp;%20Offtake_20-21_Amit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alk-my.sharepoint.com/Users/acer/Desktop/Provisional%20Coal%20Statistics%202022-23/Provisional%202022-23_Final%20Book/02_Production%20Prov%2022-23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5.1"/>
      <sheetName val="chart 5.2 &amp; 3"/>
      <sheetName val="ST1"/>
      <sheetName val="ST2"/>
      <sheetName val="ST-3"/>
      <sheetName val="ST4-5"/>
      <sheetName val="ST4-5_Revised"/>
      <sheetName val="ST6"/>
      <sheetName val="ST 7"/>
      <sheetName val="D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B6" t="str">
            <v>APMDTCL</v>
          </cell>
        </row>
        <row r="7">
          <cell r="B7" t="str">
            <v>NEC</v>
          </cell>
          <cell r="AJ7">
            <v>0.182</v>
          </cell>
        </row>
        <row r="8">
          <cell r="B8" t="str">
            <v>SECL</v>
          </cell>
          <cell r="AJ8">
            <v>7.0339999999999998</v>
          </cell>
        </row>
        <row r="9">
          <cell r="B9" t="str">
            <v>MIEL</v>
          </cell>
          <cell r="AJ9">
            <v>2.5999999999999999E-2</v>
          </cell>
        </row>
        <row r="10">
          <cell r="B10" t="str">
            <v>JSPL</v>
          </cell>
          <cell r="AJ10">
            <v>0</v>
          </cell>
        </row>
        <row r="11">
          <cell r="B11" t="str">
            <v>PIL</v>
          </cell>
          <cell r="AJ11">
            <v>0</v>
          </cell>
        </row>
        <row r="12">
          <cell r="B12" t="str">
            <v>JNL</v>
          </cell>
          <cell r="AJ12">
            <v>6.0000000000000001E-3</v>
          </cell>
        </row>
        <row r="13">
          <cell r="B13" t="str">
            <v>JPL</v>
          </cell>
        </row>
        <row r="14">
          <cell r="B14" t="str">
            <v>SEML</v>
          </cell>
        </row>
        <row r="15">
          <cell r="B15" t="str">
            <v>RRVUNL</v>
          </cell>
        </row>
        <row r="16">
          <cell r="B16" t="str">
            <v>TOTAL</v>
          </cell>
          <cell r="AJ16">
            <v>7.0659999999999998</v>
          </cell>
        </row>
        <row r="17">
          <cell r="B17" t="str">
            <v>JKML</v>
          </cell>
          <cell r="AJ17">
            <v>1E-3</v>
          </cell>
        </row>
        <row r="18">
          <cell r="B18" t="str">
            <v>ECL</v>
          </cell>
          <cell r="AJ18">
            <v>4.7080000000000002</v>
          </cell>
        </row>
        <row r="19">
          <cell r="B19" t="str">
            <v>BCCL</v>
          </cell>
          <cell r="AJ19">
            <v>3.3810000000000002</v>
          </cell>
        </row>
        <row r="20">
          <cell r="B20" t="str">
            <v>CCL</v>
          </cell>
          <cell r="AJ20">
            <v>10.73</v>
          </cell>
        </row>
        <row r="21">
          <cell r="B21" t="str">
            <v>JSMDCL</v>
          </cell>
          <cell r="AJ21">
            <v>0</v>
          </cell>
        </row>
        <row r="22">
          <cell r="B22" t="str">
            <v>DVC</v>
          </cell>
          <cell r="AJ22">
            <v>2.1999999999999999E-2</v>
          </cell>
        </row>
        <row r="23">
          <cell r="B23" t="str">
            <v>IISCO</v>
          </cell>
          <cell r="AJ23">
            <v>2E-3</v>
          </cell>
        </row>
        <row r="24">
          <cell r="B24" t="str">
            <v>TISCO</v>
          </cell>
          <cell r="AJ24">
            <v>3.6999999999999998E-2</v>
          </cell>
        </row>
        <row r="25">
          <cell r="B25" t="str">
            <v>CML</v>
          </cell>
          <cell r="AJ25">
            <v>0.02</v>
          </cell>
        </row>
        <row r="26">
          <cell r="B26" t="str">
            <v>PSWB/PANEM</v>
          </cell>
          <cell r="AJ26">
            <v>0.127</v>
          </cell>
        </row>
        <row r="27">
          <cell r="B27" t="str">
            <v>WBPDCL</v>
          </cell>
          <cell r="AJ27">
            <v>0.127</v>
          </cell>
        </row>
        <row r="28">
          <cell r="B28" t="str">
            <v>UML</v>
          </cell>
        </row>
        <row r="29">
          <cell r="B29" t="str">
            <v>ESCL</v>
          </cell>
        </row>
        <row r="30">
          <cell r="B30" t="str">
            <v>SAIL</v>
          </cell>
        </row>
        <row r="31">
          <cell r="B31" t="str">
            <v>TOTAL</v>
          </cell>
        </row>
        <row r="32">
          <cell r="B32" t="str">
            <v>NCL</v>
          </cell>
          <cell r="AJ32">
            <v>19.026999999999997</v>
          </cell>
        </row>
        <row r="33">
          <cell r="B33" t="str">
            <v>WCL</v>
          </cell>
          <cell r="AJ33">
            <v>0.49299999999999999</v>
          </cell>
        </row>
        <row r="34">
          <cell r="B34" t="str">
            <v>SECL</v>
          </cell>
          <cell r="AJ34">
            <v>0.77200000000000002</v>
          </cell>
        </row>
        <row r="35">
          <cell r="B35" t="str">
            <v>BLA</v>
          </cell>
          <cell r="AJ35">
            <v>0.85399999999999998</v>
          </cell>
        </row>
        <row r="36">
          <cell r="B36" t="str">
            <v>SPL</v>
          </cell>
        </row>
        <row r="37">
          <cell r="B37" t="str">
            <v>MPSMCL</v>
          </cell>
        </row>
        <row r="38">
          <cell r="B38" t="str">
            <v>TOTAL</v>
          </cell>
        </row>
        <row r="39">
          <cell r="B39" t="str">
            <v>WCL</v>
          </cell>
          <cell r="AJ39">
            <v>2.1190000000000002</v>
          </cell>
        </row>
        <row r="40">
          <cell r="B40" t="str">
            <v>SIL</v>
          </cell>
          <cell r="AJ40">
            <v>3.9140000000000001</v>
          </cell>
        </row>
        <row r="41">
          <cell r="B41" t="str">
            <v>KECML</v>
          </cell>
        </row>
        <row r="42">
          <cell r="B42" t="str">
            <v>BSIL</v>
          </cell>
        </row>
        <row r="43">
          <cell r="B43" t="str">
            <v>TUML/SVSL</v>
          </cell>
        </row>
        <row r="44">
          <cell r="B44" t="str">
            <v>TOTAL</v>
          </cell>
        </row>
        <row r="45">
          <cell r="B45" t="str">
            <v>PRIVATE</v>
          </cell>
          <cell r="AJ45">
            <v>3.9140000000000001</v>
          </cell>
        </row>
        <row r="46">
          <cell r="B46" t="str">
            <v>MCL</v>
          </cell>
          <cell r="AJ46">
            <v>0</v>
          </cell>
        </row>
        <row r="47">
          <cell r="B47" t="str">
            <v>HIL</v>
          </cell>
          <cell r="AJ47">
            <v>7.9729999999999999</v>
          </cell>
        </row>
        <row r="48">
          <cell r="B48" t="str">
            <v>TOTAL</v>
          </cell>
          <cell r="AJ48">
            <v>0.05</v>
          </cell>
        </row>
        <row r="49">
          <cell r="B49" t="str">
            <v>SCCL</v>
          </cell>
          <cell r="AJ49">
            <v>1.4850000000000001</v>
          </cell>
        </row>
        <row r="50">
          <cell r="B50" t="str">
            <v>NCL</v>
          </cell>
          <cell r="AJ50">
            <v>8.0229999999999997</v>
          </cell>
        </row>
        <row r="51">
          <cell r="B51" t="str">
            <v>ECL</v>
          </cell>
          <cell r="AJ51">
            <v>0.49</v>
          </cell>
        </row>
        <row r="52">
          <cell r="B52" t="str">
            <v>BCCL</v>
          </cell>
          <cell r="AJ52">
            <v>1.3280000000000001</v>
          </cell>
        </row>
        <row r="53">
          <cell r="B53" t="str">
            <v>IISCO</v>
          </cell>
          <cell r="AJ53">
            <v>0.47500000000000003</v>
          </cell>
        </row>
        <row r="54">
          <cell r="B54" t="str">
            <v>WBPDCL</v>
          </cell>
          <cell r="AJ54">
            <v>0.13800000000000001</v>
          </cell>
        </row>
        <row r="55">
          <cell r="B55" t="str">
            <v>ICML</v>
          </cell>
          <cell r="AJ55">
            <v>0.1</v>
          </cell>
        </row>
        <row r="56">
          <cell r="B56" t="str">
            <v>DVC EMTA</v>
          </cell>
        </row>
        <row r="57">
          <cell r="B57" t="str">
            <v>WBMDTCL</v>
          </cell>
        </row>
        <row r="58">
          <cell r="B58" t="str">
            <v>SOVA</v>
          </cell>
        </row>
        <row r="59">
          <cell r="B59" t="str">
            <v>TOTAL</v>
          </cell>
        </row>
        <row r="60">
          <cell r="AJ60">
            <v>2.0410000000000004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5.1 &amp; 2"/>
      <sheetName val="chart 5.3 &amp; 4"/>
      <sheetName val="ST1"/>
      <sheetName val="ST2"/>
      <sheetName val="ST-3"/>
      <sheetName val="ST4"/>
      <sheetName val="ST4-5_Revised"/>
      <sheetName val="ST5"/>
      <sheetName val="ST6"/>
      <sheetName val="ST 7"/>
      <sheetName val="S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APMDTCL</v>
          </cell>
          <cell r="AF6">
            <v>0</v>
          </cell>
          <cell r="AO6">
            <v>0</v>
          </cell>
        </row>
        <row r="7">
          <cell r="B7" t="str">
            <v>NEC</v>
          </cell>
          <cell r="AF7">
            <v>6.9000000000000006E-2</v>
          </cell>
          <cell r="AO7">
            <v>0</v>
          </cell>
        </row>
        <row r="8">
          <cell r="B8" t="str">
            <v>SECL</v>
          </cell>
          <cell r="AF8">
            <v>6.601</v>
          </cell>
          <cell r="AO8">
            <v>29.082999999999998</v>
          </cell>
        </row>
        <row r="9">
          <cell r="B9" t="str">
            <v>SECL(GP-IV/2&amp;3)</v>
          </cell>
          <cell r="AF9">
            <v>0.317</v>
          </cell>
          <cell r="AO9">
            <v>0.11799999999999999</v>
          </cell>
        </row>
        <row r="10">
          <cell r="B10" t="str">
            <v>SECL(GP-IV/1)</v>
          </cell>
          <cell r="AF10">
            <v>0.216</v>
          </cell>
          <cell r="AO10">
            <v>0</v>
          </cell>
        </row>
        <row r="11">
          <cell r="B11" t="str">
            <v>RRVUNL</v>
          </cell>
          <cell r="AF11">
            <v>0</v>
          </cell>
          <cell r="AO11">
            <v>0</v>
          </cell>
        </row>
        <row r="12">
          <cell r="B12" t="str">
            <v>NTPC</v>
          </cell>
          <cell r="AF12">
            <v>0</v>
          </cell>
          <cell r="AO12">
            <v>0.10100000000000001</v>
          </cell>
        </row>
        <row r="13">
          <cell r="B13" t="str">
            <v>CSPGCL</v>
          </cell>
          <cell r="AF13">
            <v>0</v>
          </cell>
          <cell r="AO13">
            <v>0.33400000000000002</v>
          </cell>
        </row>
        <row r="14">
          <cell r="B14" t="str">
            <v>HIL</v>
          </cell>
          <cell r="AF14">
            <v>0.22500000000000001</v>
          </cell>
          <cell r="AO14">
            <v>2.7E-2</v>
          </cell>
        </row>
        <row r="15">
          <cell r="B15" t="str">
            <v>BALCO</v>
          </cell>
          <cell r="AF15">
            <v>0</v>
          </cell>
          <cell r="AO15">
            <v>1E-3</v>
          </cell>
        </row>
        <row r="16">
          <cell r="B16" t="str">
            <v>AMBUJA</v>
          </cell>
          <cell r="AF16">
            <v>0</v>
          </cell>
          <cell r="AO16">
            <v>5.8999999999999997E-2</v>
          </cell>
        </row>
        <row r="17">
          <cell r="B17" t="str">
            <v>MIEL</v>
          </cell>
          <cell r="AF17">
            <v>0</v>
          </cell>
          <cell r="AO17">
            <v>0</v>
          </cell>
        </row>
        <row r="18">
          <cell r="B18" t="str">
            <v>JSPL</v>
          </cell>
          <cell r="AF18">
            <v>0</v>
          </cell>
          <cell r="AO18">
            <v>0</v>
          </cell>
        </row>
        <row r="19">
          <cell r="B19" t="str">
            <v>PIL</v>
          </cell>
          <cell r="AF19">
            <v>0</v>
          </cell>
          <cell r="AO19">
            <v>0</v>
          </cell>
        </row>
        <row r="20">
          <cell r="B20" t="str">
            <v>JNL</v>
          </cell>
          <cell r="AF20">
            <v>0</v>
          </cell>
          <cell r="AO20">
            <v>0</v>
          </cell>
        </row>
        <row r="21">
          <cell r="B21" t="str">
            <v>JPL</v>
          </cell>
          <cell r="AF21">
            <v>0</v>
          </cell>
          <cell r="AO21">
            <v>0</v>
          </cell>
        </row>
        <row r="22">
          <cell r="B22" t="str">
            <v>SEML</v>
          </cell>
          <cell r="AF22">
            <v>0</v>
          </cell>
          <cell r="AO22">
            <v>0</v>
          </cell>
        </row>
        <row r="23">
          <cell r="B23" t="str">
            <v>TOTAL</v>
          </cell>
          <cell r="AF23">
            <v>7.359</v>
          </cell>
          <cell r="AO23">
            <v>29.722999999999999</v>
          </cell>
        </row>
        <row r="24">
          <cell r="B24" t="str">
            <v>JKML</v>
          </cell>
          <cell r="AF24">
            <v>5.0000000000000001E-3</v>
          </cell>
          <cell r="AO24">
            <v>8.9999999999999993E-3</v>
          </cell>
        </row>
        <row r="25">
          <cell r="B25" t="str">
            <v>ECL</v>
          </cell>
          <cell r="AF25">
            <v>1.323</v>
          </cell>
          <cell r="AO25">
            <v>4.25</v>
          </cell>
        </row>
        <row r="26">
          <cell r="B26" t="str">
            <v>BCCL</v>
          </cell>
          <cell r="AF26">
            <v>5.1289999999999996</v>
          </cell>
          <cell r="AO26">
            <v>3.7359999999999998</v>
          </cell>
        </row>
        <row r="27">
          <cell r="B27" t="str">
            <v>CCL</v>
          </cell>
          <cell r="AF27">
            <v>13.469000000000001</v>
          </cell>
          <cell r="AO27">
            <v>10.491</v>
          </cell>
        </row>
        <row r="28">
          <cell r="B28" t="str">
            <v>JSMDCL</v>
          </cell>
          <cell r="AF28">
            <v>0</v>
          </cell>
          <cell r="AO28">
            <v>1.4999999999999999E-2</v>
          </cell>
        </row>
        <row r="29">
          <cell r="B29" t="str">
            <v>DVC</v>
          </cell>
          <cell r="AF29">
            <v>0.06</v>
          </cell>
          <cell r="AO29">
            <v>0.06</v>
          </cell>
        </row>
        <row r="30">
          <cell r="B30" t="str">
            <v>IISCO</v>
          </cell>
          <cell r="AF30">
            <v>0</v>
          </cell>
          <cell r="AO30">
            <v>0</v>
          </cell>
        </row>
        <row r="31">
          <cell r="B31" t="str">
            <v>SAIL</v>
          </cell>
          <cell r="AF31">
            <v>0.185</v>
          </cell>
          <cell r="AO31">
            <v>0</v>
          </cell>
        </row>
        <row r="32">
          <cell r="B32" t="str">
            <v>NTPC</v>
          </cell>
          <cell r="AF32">
            <v>0.223</v>
          </cell>
          <cell r="AO32">
            <v>0.626</v>
          </cell>
        </row>
        <row r="33">
          <cell r="B33" t="str">
            <v>TSL</v>
          </cell>
          <cell r="AF33">
            <v>2.4E-2</v>
          </cell>
          <cell r="AO33">
            <v>1.6E-2</v>
          </cell>
        </row>
        <row r="34">
          <cell r="B34" t="str">
            <v>HIL</v>
          </cell>
          <cell r="AF34">
            <v>0.23200000000000001</v>
          </cell>
          <cell r="AO34">
            <v>0.104</v>
          </cell>
        </row>
        <row r="35">
          <cell r="B35" t="str">
            <v>CML</v>
          </cell>
          <cell r="AF35">
            <v>0</v>
          </cell>
          <cell r="AO35">
            <v>0</v>
          </cell>
        </row>
        <row r="36">
          <cell r="B36" t="str">
            <v>PSWB/PANEM</v>
          </cell>
          <cell r="AF36">
            <v>0</v>
          </cell>
          <cell r="AO36">
            <v>0</v>
          </cell>
        </row>
        <row r="37">
          <cell r="B37" t="str">
            <v>WBPDCL</v>
          </cell>
          <cell r="AF37">
            <v>0</v>
          </cell>
          <cell r="AO37">
            <v>0</v>
          </cell>
        </row>
        <row r="38">
          <cell r="B38" t="str">
            <v>UML</v>
          </cell>
          <cell r="AF38">
            <v>0</v>
          </cell>
          <cell r="AO38">
            <v>0</v>
          </cell>
        </row>
        <row r="39">
          <cell r="B39" t="str">
            <v>ESCL</v>
          </cell>
          <cell r="AF39">
            <v>0</v>
          </cell>
          <cell r="AO39">
            <v>0</v>
          </cell>
        </row>
        <row r="40">
          <cell r="B40" t="str">
            <v>TOTAL</v>
          </cell>
          <cell r="AF40">
            <v>20.644999999999996</v>
          </cell>
          <cell r="AO40">
            <v>19.297999999999998</v>
          </cell>
        </row>
        <row r="41">
          <cell r="B41" t="str">
            <v>NCL</v>
          </cell>
          <cell r="AF41">
            <v>1.052</v>
          </cell>
          <cell r="AO41">
            <v>5.2329999999999997</v>
          </cell>
        </row>
        <row r="42">
          <cell r="B42" t="str">
            <v>WCL</v>
          </cell>
          <cell r="AF42">
            <v>0.71599999999999997</v>
          </cell>
          <cell r="AO42">
            <v>0.378</v>
          </cell>
        </row>
        <row r="43">
          <cell r="B43" t="str">
            <v>SECL</v>
          </cell>
          <cell r="AF43">
            <v>0.81299999999999994</v>
          </cell>
          <cell r="AO43">
            <v>0.502</v>
          </cell>
        </row>
        <row r="44">
          <cell r="B44" t="str">
            <v>BLA</v>
          </cell>
          <cell r="AF44">
            <v>0</v>
          </cell>
          <cell r="AO44">
            <v>0</v>
          </cell>
        </row>
        <row r="45">
          <cell r="B45" t="str">
            <v>SPL</v>
          </cell>
          <cell r="AF45">
            <v>0.26400000000000001</v>
          </cell>
          <cell r="AO45">
            <v>0.68300000000000005</v>
          </cell>
        </row>
        <row r="46">
          <cell r="B46" t="str">
            <v>JPVL</v>
          </cell>
          <cell r="AF46">
            <v>1E-3</v>
          </cell>
          <cell r="AO46">
            <v>0</v>
          </cell>
        </row>
        <row r="47">
          <cell r="B47" t="str">
            <v>RCCPL</v>
          </cell>
          <cell r="AF47">
            <v>0</v>
          </cell>
          <cell r="AO47">
            <v>0</v>
          </cell>
        </row>
        <row r="48">
          <cell r="B48" t="str">
            <v>TOTAL</v>
          </cell>
          <cell r="AF48">
            <v>2.8459999999999996</v>
          </cell>
          <cell r="AO48">
            <v>6.7959999999999994</v>
          </cell>
        </row>
        <row r="49">
          <cell r="B49" t="str">
            <v>WCL</v>
          </cell>
          <cell r="AF49">
            <v>10.898</v>
          </cell>
          <cell r="AO49">
            <v>14.500999999999999</v>
          </cell>
        </row>
        <row r="50">
          <cell r="B50" t="str">
            <v>SIL</v>
          </cell>
          <cell r="AF50">
            <v>1.7000000000000001E-2</v>
          </cell>
          <cell r="AO50">
            <v>3.1E-2</v>
          </cell>
        </row>
        <row r="51">
          <cell r="B51" t="str">
            <v>KECML</v>
          </cell>
          <cell r="AF51">
            <v>0</v>
          </cell>
          <cell r="AO51">
            <v>0</v>
          </cell>
        </row>
        <row r="52">
          <cell r="B52" t="str">
            <v>BSIL</v>
          </cell>
          <cell r="AF52">
            <v>0</v>
          </cell>
          <cell r="AO52">
            <v>0</v>
          </cell>
        </row>
        <row r="53">
          <cell r="B53" t="str">
            <v>TUML/SVSL</v>
          </cell>
          <cell r="AF53">
            <v>0</v>
          </cell>
          <cell r="AO53">
            <v>0</v>
          </cell>
        </row>
        <row r="54">
          <cell r="B54" t="str">
            <v>TUML</v>
          </cell>
          <cell r="AF54">
            <v>2E-3</v>
          </cell>
          <cell r="AO54">
            <v>1E-3</v>
          </cell>
        </row>
        <row r="55">
          <cell r="B55" t="str">
            <v>TOTAL</v>
          </cell>
          <cell r="AF55">
            <v>10.917</v>
          </cell>
          <cell r="AO55">
            <v>14.532999999999999</v>
          </cell>
        </row>
        <row r="56">
          <cell r="B56" t="str">
            <v>PRIVATE</v>
          </cell>
          <cell r="AF56">
            <v>0</v>
          </cell>
          <cell r="AO56">
            <v>0</v>
          </cell>
        </row>
        <row r="57">
          <cell r="B57" t="str">
            <v>MCL</v>
          </cell>
          <cell r="AF57">
            <v>11.178000000000001</v>
          </cell>
          <cell r="AO57">
            <v>23.568000000000001</v>
          </cell>
        </row>
        <row r="58">
          <cell r="B58" t="str">
            <v>OCPL</v>
          </cell>
          <cell r="AF58">
            <v>0</v>
          </cell>
          <cell r="AO58">
            <v>0.68500000000000005</v>
          </cell>
        </row>
        <row r="59">
          <cell r="B59" t="str">
            <v>NTPC</v>
          </cell>
          <cell r="AF59">
            <v>0</v>
          </cell>
          <cell r="AO59">
            <v>0.35599999999999998</v>
          </cell>
        </row>
        <row r="60">
          <cell r="B60" t="str">
            <v>GMR</v>
          </cell>
          <cell r="AF60">
            <v>0</v>
          </cell>
          <cell r="AO60">
            <v>0</v>
          </cell>
        </row>
        <row r="61">
          <cell r="B61" t="str">
            <v>NLCIL</v>
          </cell>
          <cell r="AF61">
            <v>0</v>
          </cell>
          <cell r="AO61">
            <v>0.313</v>
          </cell>
        </row>
        <row r="62">
          <cell r="B62" t="str">
            <v>OCL</v>
          </cell>
          <cell r="AF62">
            <v>0</v>
          </cell>
          <cell r="AO62">
            <v>0</v>
          </cell>
        </row>
        <row r="63">
          <cell r="B63" t="str">
            <v>HIL</v>
          </cell>
          <cell r="AF63">
            <v>0</v>
          </cell>
          <cell r="AO63">
            <v>0</v>
          </cell>
        </row>
        <row r="64">
          <cell r="B64" t="str">
            <v>TOTAL</v>
          </cell>
          <cell r="AF64">
            <v>11.178000000000001</v>
          </cell>
          <cell r="AO64">
            <v>24.922000000000001</v>
          </cell>
        </row>
        <row r="65">
          <cell r="B65" t="str">
            <v>SCCL</v>
          </cell>
          <cell r="AF65">
            <v>4.9210000000000003</v>
          </cell>
          <cell r="AO65">
            <v>5.2389999999999999</v>
          </cell>
        </row>
        <row r="66">
          <cell r="B66" t="str">
            <v>TSPGCL</v>
          </cell>
          <cell r="AF66">
            <v>0</v>
          </cell>
          <cell r="AO66">
            <v>8.0000000000000002E-3</v>
          </cell>
        </row>
        <row r="67">
          <cell r="B67" t="str">
            <v>TOTAL</v>
          </cell>
          <cell r="AF67">
            <v>4.9210000000000003</v>
          </cell>
          <cell r="AO67">
            <v>5.2469999999999999</v>
          </cell>
        </row>
        <row r="68">
          <cell r="B68" t="str">
            <v>NCL</v>
          </cell>
          <cell r="AF68">
            <v>2.3889999999999998</v>
          </cell>
          <cell r="AO68">
            <v>5.1630000000000003</v>
          </cell>
        </row>
        <row r="69">
          <cell r="B69" t="str">
            <v>ECL</v>
          </cell>
          <cell r="AF69">
            <v>1.1729999999999998</v>
          </cell>
          <cell r="AO69">
            <v>2.052</v>
          </cell>
        </row>
        <row r="70">
          <cell r="B70" t="str">
            <v>BCCL</v>
          </cell>
          <cell r="AF70">
            <v>0.28699999999999998</v>
          </cell>
          <cell r="AO70">
            <v>6.4000000000000001E-2</v>
          </cell>
        </row>
        <row r="71">
          <cell r="B71" t="str">
            <v>IISCO</v>
          </cell>
          <cell r="AF71">
            <v>7.0000000000000001E-3</v>
          </cell>
          <cell r="AO71">
            <v>3.0000000000000001E-3</v>
          </cell>
        </row>
        <row r="72">
          <cell r="B72" t="str">
            <v>WBPDCL</v>
          </cell>
          <cell r="AF72">
            <v>0</v>
          </cell>
          <cell r="AO72">
            <v>0.873</v>
          </cell>
        </row>
        <row r="73">
          <cell r="B73" t="str">
            <v>DPL</v>
          </cell>
          <cell r="AO73">
            <v>4.2999999999999997E-2</v>
          </cell>
        </row>
        <row r="74">
          <cell r="B74" t="str">
            <v>CESC</v>
          </cell>
          <cell r="AF74">
            <v>0.24</v>
          </cell>
          <cell r="AO74">
            <v>0.33400000000000002</v>
          </cell>
        </row>
        <row r="75">
          <cell r="B75" t="str">
            <v>WBPDCL</v>
          </cell>
          <cell r="AF75">
            <v>0</v>
          </cell>
          <cell r="AO75">
            <v>0</v>
          </cell>
        </row>
        <row r="76">
          <cell r="B76" t="str">
            <v>ICML</v>
          </cell>
          <cell r="AF76">
            <v>0</v>
          </cell>
          <cell r="AO76">
            <v>0</v>
          </cell>
        </row>
        <row r="77">
          <cell r="B77" t="str">
            <v>DVC EMTA</v>
          </cell>
          <cell r="AF77">
            <v>0</v>
          </cell>
          <cell r="AO77">
            <v>0</v>
          </cell>
        </row>
        <row r="78">
          <cell r="B78" t="str">
            <v>WBMDTCL</v>
          </cell>
          <cell r="AF78">
            <v>0</v>
          </cell>
          <cell r="AO78">
            <v>0</v>
          </cell>
        </row>
        <row r="79">
          <cell r="B79" t="str">
            <v>SOVA</v>
          </cell>
          <cell r="AF79">
            <v>0</v>
          </cell>
          <cell r="AO79">
            <v>0</v>
          </cell>
        </row>
        <row r="80">
          <cell r="B80" t="str">
            <v>TOTAL</v>
          </cell>
          <cell r="AF80">
            <v>1.7069999999999996</v>
          </cell>
          <cell r="AO80">
            <v>3.3690000000000002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l no"/>
      <sheetName val="chart 4.1_2"/>
      <sheetName val="T4.3_4"/>
      <sheetName val="DT1"/>
      <sheetName val="DT2"/>
      <sheetName val="DT3"/>
      <sheetName val="DT4"/>
      <sheetName val="DT5"/>
      <sheetName val="DT-6"/>
      <sheetName val="DT-7"/>
      <sheetName val="DT8"/>
      <sheetName val="DT9"/>
      <sheetName val="DT10"/>
      <sheetName val="DT11"/>
      <sheetName val="DT12"/>
      <sheetName val="DT13"/>
      <sheetName val="DT14"/>
      <sheetName val="DT15"/>
      <sheetName val="DT16"/>
      <sheetName val="DT17"/>
      <sheetName val="DT18"/>
      <sheetName val="DT19"/>
      <sheetName val="DT20"/>
      <sheetName val="DT21"/>
      <sheetName val="DT22"/>
      <sheetName val="DT23"/>
      <sheetName val="DT24"/>
      <sheetName val="DT25"/>
      <sheetName val="DT26"/>
      <sheetName val="DT27"/>
      <sheetName val="DT28"/>
      <sheetName val="DT29"/>
      <sheetName val="DT30"/>
      <sheetName val="DT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 t="str">
            <v>APMDTCL</v>
          </cell>
          <cell r="AQ6">
            <v>0</v>
          </cell>
        </row>
        <row r="7">
          <cell r="B7" t="str">
            <v>NEC</v>
          </cell>
          <cell r="AQ7">
            <v>0.09</v>
          </cell>
        </row>
        <row r="8">
          <cell r="B8" t="str">
            <v>SECL</v>
          </cell>
          <cell r="AP8">
            <v>0.27100000000000002</v>
          </cell>
          <cell r="AQ8">
            <v>124.532</v>
          </cell>
        </row>
        <row r="9">
          <cell r="B9" t="str">
            <v>SECL(GP-IV/2&amp;3)</v>
          </cell>
          <cell r="AQ9">
            <v>3.2410000000000001</v>
          </cell>
        </row>
        <row r="10">
          <cell r="B10" t="str">
            <v>SECL(GP-IV/1)</v>
          </cell>
          <cell r="AQ10">
            <v>0</v>
          </cell>
        </row>
        <row r="11">
          <cell r="B11" t="str">
            <v>RRVUNL</v>
          </cell>
          <cell r="AQ11">
            <v>15</v>
          </cell>
        </row>
        <row r="12">
          <cell r="B12" t="str">
            <v>HIL_GP_IV/4</v>
          </cell>
          <cell r="AQ12">
            <v>0.29199999999999998</v>
          </cell>
          <cell r="AR12">
            <v>0.29199999999999998</v>
          </cell>
        </row>
        <row r="13">
          <cell r="B13" t="str">
            <v>HIL_GP_IV/5</v>
          </cell>
          <cell r="AQ13">
            <v>1E-3</v>
          </cell>
          <cell r="AR13">
            <v>1E-3</v>
          </cell>
        </row>
        <row r="14">
          <cell r="B14" t="str">
            <v>CSPGCL</v>
          </cell>
          <cell r="AQ14">
            <v>1.66</v>
          </cell>
        </row>
        <row r="15">
          <cell r="B15" t="str">
            <v>NTPC</v>
          </cell>
          <cell r="AQ15">
            <v>0.90100000000000002</v>
          </cell>
        </row>
        <row r="16">
          <cell r="B16" t="str">
            <v>BALCO</v>
          </cell>
          <cell r="AQ16">
            <v>0.23100000000000001</v>
          </cell>
        </row>
        <row r="17">
          <cell r="B17" t="str">
            <v>AMBUJA</v>
          </cell>
          <cell r="AQ17">
            <v>0.124</v>
          </cell>
        </row>
        <row r="18">
          <cell r="B18" t="str">
            <v>JSPL</v>
          </cell>
        </row>
        <row r="19">
          <cell r="B19" t="str">
            <v>MIEL</v>
          </cell>
        </row>
        <row r="20">
          <cell r="B20" t="str">
            <v>PIL</v>
          </cell>
        </row>
        <row r="21">
          <cell r="B21" t="str">
            <v>JNL</v>
          </cell>
        </row>
        <row r="22">
          <cell r="B22" t="str">
            <v>JPL</v>
          </cell>
        </row>
        <row r="23">
          <cell r="B23" t="str">
            <v>SEML</v>
          </cell>
        </row>
        <row r="24">
          <cell r="B24" t="str">
            <v>TOTAL</v>
          </cell>
          <cell r="AP24">
            <v>0.27100000000000002</v>
          </cell>
          <cell r="AQ24">
            <v>145.982</v>
          </cell>
        </row>
        <row r="25">
          <cell r="B25" t="str">
            <v>JKML</v>
          </cell>
          <cell r="AQ25">
            <v>8.0000000000000002E-3</v>
          </cell>
        </row>
        <row r="26">
          <cell r="B26" t="str">
            <v>ECL</v>
          </cell>
          <cell r="AP26">
            <v>1.7999999999999999E-2</v>
          </cell>
          <cell r="AQ26">
            <v>16.716000000000001</v>
          </cell>
        </row>
        <row r="27">
          <cell r="B27" t="str">
            <v>BCCL</v>
          </cell>
          <cell r="AP27">
            <v>22.111999999999998</v>
          </cell>
          <cell r="AQ27">
            <v>1.04</v>
          </cell>
        </row>
        <row r="28">
          <cell r="B28" t="str">
            <v>CCL</v>
          </cell>
          <cell r="AP28">
            <v>15.473000000000001</v>
          </cell>
          <cell r="AQ28">
            <v>49.927</v>
          </cell>
        </row>
        <row r="29">
          <cell r="B29" t="str">
            <v>JSMDCL</v>
          </cell>
          <cell r="AQ29">
            <v>6.9000000000000006E-2</v>
          </cell>
        </row>
        <row r="30">
          <cell r="B30" t="str">
            <v>DVC</v>
          </cell>
        </row>
        <row r="31">
          <cell r="B31" t="str">
            <v>IISCO</v>
          </cell>
          <cell r="AP31">
            <v>9.1999999999999998E-2</v>
          </cell>
        </row>
        <row r="32">
          <cell r="B32" t="str">
            <v>SAIL</v>
          </cell>
        </row>
        <row r="33">
          <cell r="B33" t="str">
            <v>NTPC</v>
          </cell>
          <cell r="AQ33">
            <v>6.6379999999999999</v>
          </cell>
        </row>
        <row r="34">
          <cell r="B34" t="str">
            <v>TSL</v>
          </cell>
          <cell r="AP34">
            <v>5.85</v>
          </cell>
        </row>
        <row r="35">
          <cell r="B35" t="str">
            <v>PSEB-PANEM</v>
          </cell>
        </row>
        <row r="36">
          <cell r="B36" t="str">
            <v>UML</v>
          </cell>
        </row>
        <row r="37">
          <cell r="B37" t="str">
            <v>WBPDCL</v>
          </cell>
        </row>
        <row r="38">
          <cell r="B38" t="str">
            <v>ESCL</v>
          </cell>
        </row>
        <row r="39">
          <cell r="B39" t="str">
            <v>GVK</v>
          </cell>
        </row>
        <row r="40">
          <cell r="B40" t="str">
            <v>HIL_KOC</v>
          </cell>
          <cell r="AQ40">
            <v>2.4E-2</v>
          </cell>
          <cell r="AR40">
            <v>2.4E-2</v>
          </cell>
        </row>
        <row r="41">
          <cell r="B41" t="str">
            <v>TOTAL</v>
          </cell>
          <cell r="AP41">
            <v>43.545000000000002</v>
          </cell>
          <cell r="AQ41">
            <v>74.414000000000001</v>
          </cell>
        </row>
        <row r="42">
          <cell r="B42" t="str">
            <v>NCL</v>
          </cell>
          <cell r="AQ42">
            <v>70.289000000000001</v>
          </cell>
        </row>
        <row r="43">
          <cell r="B43" t="str">
            <v>WCL</v>
          </cell>
          <cell r="AP43">
            <v>0.184</v>
          </cell>
          <cell r="AQ43">
            <v>3.1459999999999999</v>
          </cell>
        </row>
        <row r="44">
          <cell r="B44" t="str">
            <v>SECL</v>
          </cell>
          <cell r="AQ44">
            <v>10.724</v>
          </cell>
        </row>
        <row r="45">
          <cell r="B45" t="str">
            <v>SPL</v>
          </cell>
          <cell r="AQ45">
            <v>18.067</v>
          </cell>
        </row>
        <row r="46">
          <cell r="B46" t="str">
            <v>JPVL</v>
          </cell>
          <cell r="AQ46">
            <v>2.8010000000000002</v>
          </cell>
        </row>
        <row r="47">
          <cell r="B47" t="str">
            <v>MPSMCL</v>
          </cell>
        </row>
        <row r="48">
          <cell r="B48" t="str">
            <v>RCCPL</v>
          </cell>
          <cell r="AQ48">
            <v>0.17299999999999999</v>
          </cell>
        </row>
        <row r="49">
          <cell r="B49" t="str">
            <v>BLA</v>
          </cell>
        </row>
        <row r="50">
          <cell r="B50" t="str">
            <v>TOTAL</v>
          </cell>
          <cell r="AP50">
            <v>0.184</v>
          </cell>
          <cell r="AQ50">
            <v>105.2</v>
          </cell>
        </row>
        <row r="51">
          <cell r="B51" t="str">
            <v>WCL</v>
          </cell>
          <cell r="AQ51">
            <v>46.357999999999997</v>
          </cell>
        </row>
        <row r="52">
          <cell r="B52" t="str">
            <v>SIL</v>
          </cell>
          <cell r="AQ52">
            <v>0.1</v>
          </cell>
        </row>
        <row r="53">
          <cell r="B53" t="str">
            <v>KECML</v>
          </cell>
        </row>
        <row r="54">
          <cell r="B54" t="str">
            <v>BSIL</v>
          </cell>
        </row>
        <row r="55">
          <cell r="B55" t="str">
            <v>TUML-SVSL</v>
          </cell>
        </row>
        <row r="56">
          <cell r="B56" t="str">
            <v>TUML</v>
          </cell>
          <cell r="AQ56">
            <v>0.113</v>
          </cell>
        </row>
        <row r="57">
          <cell r="B57" t="str">
            <v>TOTAL</v>
          </cell>
          <cell r="AP57">
            <v>0</v>
          </cell>
          <cell r="AQ57">
            <v>46.570999999999998</v>
          </cell>
        </row>
        <row r="58">
          <cell r="B58" t="str">
            <v>Meghalaya</v>
          </cell>
        </row>
        <row r="59">
          <cell r="B59" t="str">
            <v>MCL</v>
          </cell>
          <cell r="AQ59">
            <v>146.00700000000001</v>
          </cell>
        </row>
        <row r="60">
          <cell r="B60" t="str">
            <v>GMR</v>
          </cell>
          <cell r="AQ60">
            <v>0</v>
          </cell>
        </row>
        <row r="61">
          <cell r="B61" t="str">
            <v>OCPL</v>
          </cell>
          <cell r="AQ61">
            <v>1.804</v>
          </cell>
        </row>
        <row r="62">
          <cell r="B62" t="str">
            <v>NTPC</v>
          </cell>
          <cell r="AQ62">
            <v>3.4</v>
          </cell>
        </row>
        <row r="63">
          <cell r="B63" t="str">
            <v>OCL</v>
          </cell>
          <cell r="AQ63">
            <v>0</v>
          </cell>
        </row>
        <row r="64">
          <cell r="B64" t="str">
            <v>NLCIL</v>
          </cell>
          <cell r="AQ64">
            <v>0.7</v>
          </cell>
        </row>
        <row r="65">
          <cell r="B65" t="str">
            <v>TOTAL</v>
          </cell>
          <cell r="AQ65">
            <v>151.911</v>
          </cell>
        </row>
        <row r="66">
          <cell r="B66" t="str">
            <v>SCCL</v>
          </cell>
          <cell r="AQ66">
            <v>48.512999999999998</v>
          </cell>
        </row>
        <row r="67">
          <cell r="B67" t="str">
            <v>TSPGCL</v>
          </cell>
          <cell r="AQ67">
            <v>2.02</v>
          </cell>
        </row>
        <row r="68">
          <cell r="B68" t="str">
            <v>TOTAL</v>
          </cell>
          <cell r="AP68">
            <v>0</v>
          </cell>
          <cell r="AQ68">
            <v>50.533000000000001</v>
          </cell>
        </row>
        <row r="69">
          <cell r="B69" t="str">
            <v>NCL</v>
          </cell>
          <cell r="AQ69">
            <v>38.354999999999997</v>
          </cell>
        </row>
        <row r="70">
          <cell r="B70" t="str">
            <v>ECL</v>
          </cell>
          <cell r="AP70">
            <v>0</v>
          </cell>
          <cell r="AQ70">
            <v>25.128</v>
          </cell>
        </row>
        <row r="71">
          <cell r="B71" t="str">
            <v>BCCL</v>
          </cell>
          <cell r="AP71">
            <v>0</v>
          </cell>
          <cell r="AQ71">
            <v>1.7000000000000001E-2</v>
          </cell>
        </row>
        <row r="72">
          <cell r="B72" t="str">
            <v>IISCO</v>
          </cell>
          <cell r="AQ72">
            <v>0.1</v>
          </cell>
        </row>
        <row r="73">
          <cell r="B73" t="str">
            <v>WBPDCL</v>
          </cell>
          <cell r="AQ73">
            <v>6.5879999999999992</v>
          </cell>
        </row>
        <row r="74">
          <cell r="B74" t="str">
            <v>CESC</v>
          </cell>
          <cell r="AQ74">
            <v>1.9630000000000001</v>
          </cell>
        </row>
        <row r="75">
          <cell r="B75" t="str">
            <v>DPL</v>
          </cell>
          <cell r="AQ75">
            <v>2.4E-2</v>
          </cell>
        </row>
        <row r="76">
          <cell r="B76" t="str">
            <v>WBPDCL</v>
          </cell>
        </row>
        <row r="77">
          <cell r="B77" t="str">
            <v>ICML</v>
          </cell>
        </row>
        <row r="78">
          <cell r="B78" t="str">
            <v>DVCEMTA</v>
          </cell>
        </row>
        <row r="79">
          <cell r="B79" t="str">
            <v>WBMDTCL</v>
          </cell>
        </row>
        <row r="80">
          <cell r="B80" t="str">
            <v>SOVA</v>
          </cell>
        </row>
        <row r="81">
          <cell r="B81" t="str">
            <v>TOTAL</v>
          </cell>
          <cell r="AP81">
            <v>0</v>
          </cell>
          <cell r="AQ81">
            <v>33.82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"/>
      <sheetName val="2.3"/>
      <sheetName val="2.4"/>
      <sheetName val="2.5"/>
      <sheetName val="2.6"/>
      <sheetName val="2.7"/>
      <sheetName val="2.8"/>
      <sheetName val="2.9 &amp; 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 t="str">
            <v>NEC</v>
          </cell>
        </row>
        <row r="66">
          <cell r="B66" t="str">
            <v>Vedanta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>
            <a:alpha val="50000"/>
          </a:srgbClr>
        </a:solidFill>
        <a:ln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:BD77"/>
  <sheetViews>
    <sheetView topLeftCell="A23" workbookViewId="0">
      <selection activeCell="BE11" sqref="BE11"/>
    </sheetView>
  </sheetViews>
  <sheetFormatPr defaultColWidth="10.28515625" defaultRowHeight="12.75"/>
  <cols>
    <col min="1" max="1" width="14.85546875" style="304" customWidth="1"/>
    <col min="2" max="2" width="0.85546875" style="583" hidden="1" customWidth="1"/>
    <col min="3" max="3" width="8.28515625" style="583" hidden="1" customWidth="1"/>
    <col min="4" max="4" width="6.28515625" style="583" hidden="1" customWidth="1"/>
    <col min="5" max="5" width="9.28515625" style="583" hidden="1" customWidth="1"/>
    <col min="6" max="6" width="0.140625" style="583" hidden="1" customWidth="1"/>
    <col min="7" max="7" width="10.28515625" style="583" hidden="1" customWidth="1"/>
    <col min="8" max="8" width="6.28515625" style="583" hidden="1" customWidth="1"/>
    <col min="9" max="9" width="9.28515625" style="583" hidden="1" customWidth="1"/>
    <col min="10" max="10" width="6.28515625" style="583" hidden="1" customWidth="1"/>
    <col min="11" max="11" width="7.7109375" style="583" hidden="1" customWidth="1"/>
    <col min="12" max="12" width="6.28515625" style="583" hidden="1" customWidth="1"/>
    <col min="13" max="13" width="9.28515625" style="584" hidden="1" customWidth="1"/>
    <col min="14" max="14" width="6.28515625" style="583" hidden="1" customWidth="1"/>
    <col min="15" max="15" width="9.28515625" style="583" hidden="1" customWidth="1"/>
    <col min="16" max="16" width="6.28515625" style="583" hidden="1" customWidth="1"/>
    <col min="17" max="17" width="9.28515625" style="304" hidden="1" customWidth="1"/>
    <col min="18" max="18" width="6.28515625" style="304" hidden="1" customWidth="1"/>
    <col min="19" max="19" width="9.28515625" style="304" hidden="1" customWidth="1"/>
    <col min="20" max="20" width="8.7109375" style="304" hidden="1" customWidth="1"/>
    <col min="21" max="21" width="8" style="304" hidden="1" customWidth="1"/>
    <col min="22" max="22" width="7.28515625" style="304" hidden="1" customWidth="1"/>
    <col min="23" max="27" width="7.7109375" style="304" hidden="1" customWidth="1"/>
    <col min="28" max="28" width="7.85546875" style="304" hidden="1" customWidth="1"/>
    <col min="29" max="29" width="9.7109375" style="304" hidden="1" customWidth="1"/>
    <col min="30" max="30" width="6.7109375" style="304" hidden="1" customWidth="1"/>
    <col min="31" max="31" width="7.28515625" style="304" hidden="1" customWidth="1"/>
    <col min="32" max="32" width="6.7109375" style="385" hidden="1" customWidth="1"/>
    <col min="33" max="33" width="7.28515625" style="585" hidden="1" customWidth="1"/>
    <col min="34" max="34" width="11.85546875" style="385" hidden="1" customWidth="1"/>
    <col min="35" max="35" width="11.85546875" style="585" hidden="1" customWidth="1"/>
    <col min="36" max="36" width="13.7109375" style="385" hidden="1" customWidth="1"/>
    <col min="37" max="37" width="13.7109375" style="585" hidden="1" customWidth="1"/>
    <col min="38" max="38" width="12.7109375" style="385" hidden="1" customWidth="1"/>
    <col min="39" max="39" width="12.7109375" style="585" hidden="1" customWidth="1"/>
    <col min="40" max="40" width="6.7109375" style="385" hidden="1" customWidth="1"/>
    <col min="41" max="41" width="9.7109375" style="585" hidden="1" customWidth="1"/>
    <col min="42" max="42" width="12.7109375" style="385" hidden="1" customWidth="1"/>
    <col min="43" max="43" width="12.7109375" style="585" hidden="1" customWidth="1"/>
    <col min="44" max="44" width="11.85546875" style="385" hidden="1" customWidth="1"/>
    <col min="45" max="45" width="11.85546875" style="585" hidden="1" customWidth="1"/>
    <col min="46" max="46" width="11.85546875" style="385" hidden="1" customWidth="1"/>
    <col min="47" max="47" width="11.85546875" style="585" hidden="1" customWidth="1"/>
    <col min="48" max="48" width="10.42578125" style="385" hidden="1" customWidth="1"/>
    <col min="49" max="49" width="11.28515625" style="585" hidden="1" customWidth="1"/>
    <col min="50" max="50" width="12.28515625" style="385" customWidth="1"/>
    <col min="51" max="51" width="12.28515625" style="585" customWidth="1"/>
    <col min="52" max="52" width="12.28515625" style="385" customWidth="1"/>
    <col min="53" max="53" width="12.28515625" style="585" customWidth="1"/>
    <col min="54" max="54" width="12.28515625" style="385" customWidth="1"/>
    <col min="55" max="55" width="12.28515625" style="585" customWidth="1"/>
    <col min="56" max="56" width="6.7109375" style="382" customWidth="1"/>
    <col min="57" max="256" width="10.28515625" style="304"/>
    <col min="257" max="257" width="14.85546875" style="304" customWidth="1"/>
    <col min="258" max="305" width="0" style="304" hidden="1" customWidth="1"/>
    <col min="306" max="311" width="12.28515625" style="304" customWidth="1"/>
    <col min="312" max="312" width="6.7109375" style="304" customWidth="1"/>
    <col min="313" max="512" width="10.28515625" style="304"/>
    <col min="513" max="513" width="14.85546875" style="304" customWidth="1"/>
    <col min="514" max="561" width="0" style="304" hidden="1" customWidth="1"/>
    <col min="562" max="567" width="12.28515625" style="304" customWidth="1"/>
    <col min="568" max="568" width="6.7109375" style="304" customWidth="1"/>
    <col min="569" max="768" width="10.28515625" style="304"/>
    <col min="769" max="769" width="14.85546875" style="304" customWidth="1"/>
    <col min="770" max="817" width="0" style="304" hidden="1" customWidth="1"/>
    <col min="818" max="823" width="12.28515625" style="304" customWidth="1"/>
    <col min="824" max="824" width="6.7109375" style="304" customWidth="1"/>
    <col min="825" max="1024" width="10.28515625" style="304"/>
    <col min="1025" max="1025" width="14.85546875" style="304" customWidth="1"/>
    <col min="1026" max="1073" width="0" style="304" hidden="1" customWidth="1"/>
    <col min="1074" max="1079" width="12.28515625" style="304" customWidth="1"/>
    <col min="1080" max="1080" width="6.7109375" style="304" customWidth="1"/>
    <col min="1081" max="1280" width="10.28515625" style="304"/>
    <col min="1281" max="1281" width="14.85546875" style="304" customWidth="1"/>
    <col min="1282" max="1329" width="0" style="304" hidden="1" customWidth="1"/>
    <col min="1330" max="1335" width="12.28515625" style="304" customWidth="1"/>
    <col min="1336" max="1336" width="6.7109375" style="304" customWidth="1"/>
    <col min="1337" max="1536" width="10.28515625" style="304"/>
    <col min="1537" max="1537" width="14.85546875" style="304" customWidth="1"/>
    <col min="1538" max="1585" width="0" style="304" hidden="1" customWidth="1"/>
    <col min="1586" max="1591" width="12.28515625" style="304" customWidth="1"/>
    <col min="1592" max="1592" width="6.7109375" style="304" customWidth="1"/>
    <col min="1593" max="1792" width="10.28515625" style="304"/>
    <col min="1793" max="1793" width="14.85546875" style="304" customWidth="1"/>
    <col min="1794" max="1841" width="0" style="304" hidden="1" customWidth="1"/>
    <col min="1842" max="1847" width="12.28515625" style="304" customWidth="1"/>
    <col min="1848" max="1848" width="6.7109375" style="304" customWidth="1"/>
    <col min="1849" max="2048" width="10.28515625" style="304"/>
    <col min="2049" max="2049" width="14.85546875" style="304" customWidth="1"/>
    <col min="2050" max="2097" width="0" style="304" hidden="1" customWidth="1"/>
    <col min="2098" max="2103" width="12.28515625" style="304" customWidth="1"/>
    <col min="2104" max="2104" width="6.7109375" style="304" customWidth="1"/>
    <col min="2105" max="2304" width="10.28515625" style="304"/>
    <col min="2305" max="2305" width="14.85546875" style="304" customWidth="1"/>
    <col min="2306" max="2353" width="0" style="304" hidden="1" customWidth="1"/>
    <col min="2354" max="2359" width="12.28515625" style="304" customWidth="1"/>
    <col min="2360" max="2360" width="6.7109375" style="304" customWidth="1"/>
    <col min="2361" max="2560" width="10.28515625" style="304"/>
    <col min="2561" max="2561" width="14.85546875" style="304" customWidth="1"/>
    <col min="2562" max="2609" width="0" style="304" hidden="1" customWidth="1"/>
    <col min="2610" max="2615" width="12.28515625" style="304" customWidth="1"/>
    <col min="2616" max="2616" width="6.7109375" style="304" customWidth="1"/>
    <col min="2617" max="2816" width="10.28515625" style="304"/>
    <col min="2817" max="2817" width="14.85546875" style="304" customWidth="1"/>
    <col min="2818" max="2865" width="0" style="304" hidden="1" customWidth="1"/>
    <col min="2866" max="2871" width="12.28515625" style="304" customWidth="1"/>
    <col min="2872" max="2872" width="6.7109375" style="304" customWidth="1"/>
    <col min="2873" max="3072" width="10.28515625" style="304"/>
    <col min="3073" max="3073" width="14.85546875" style="304" customWidth="1"/>
    <col min="3074" max="3121" width="0" style="304" hidden="1" customWidth="1"/>
    <col min="3122" max="3127" width="12.28515625" style="304" customWidth="1"/>
    <col min="3128" max="3128" width="6.7109375" style="304" customWidth="1"/>
    <col min="3129" max="3328" width="10.28515625" style="304"/>
    <col min="3329" max="3329" width="14.85546875" style="304" customWidth="1"/>
    <col min="3330" max="3377" width="0" style="304" hidden="1" customWidth="1"/>
    <col min="3378" max="3383" width="12.28515625" style="304" customWidth="1"/>
    <col min="3384" max="3384" width="6.7109375" style="304" customWidth="1"/>
    <col min="3385" max="3584" width="10.28515625" style="304"/>
    <col min="3585" max="3585" width="14.85546875" style="304" customWidth="1"/>
    <col min="3586" max="3633" width="0" style="304" hidden="1" customWidth="1"/>
    <col min="3634" max="3639" width="12.28515625" style="304" customWidth="1"/>
    <col min="3640" max="3640" width="6.7109375" style="304" customWidth="1"/>
    <col min="3641" max="3840" width="10.28515625" style="304"/>
    <col min="3841" max="3841" width="14.85546875" style="304" customWidth="1"/>
    <col min="3842" max="3889" width="0" style="304" hidden="1" customWidth="1"/>
    <col min="3890" max="3895" width="12.28515625" style="304" customWidth="1"/>
    <col min="3896" max="3896" width="6.7109375" style="304" customWidth="1"/>
    <col min="3897" max="4096" width="10.28515625" style="304"/>
    <col min="4097" max="4097" width="14.85546875" style="304" customWidth="1"/>
    <col min="4098" max="4145" width="0" style="304" hidden="1" customWidth="1"/>
    <col min="4146" max="4151" width="12.28515625" style="304" customWidth="1"/>
    <col min="4152" max="4152" width="6.7109375" style="304" customWidth="1"/>
    <col min="4153" max="4352" width="10.28515625" style="304"/>
    <col min="4353" max="4353" width="14.85546875" style="304" customWidth="1"/>
    <col min="4354" max="4401" width="0" style="304" hidden="1" customWidth="1"/>
    <col min="4402" max="4407" width="12.28515625" style="304" customWidth="1"/>
    <col min="4408" max="4408" width="6.7109375" style="304" customWidth="1"/>
    <col min="4409" max="4608" width="10.28515625" style="304"/>
    <col min="4609" max="4609" width="14.85546875" style="304" customWidth="1"/>
    <col min="4610" max="4657" width="0" style="304" hidden="1" customWidth="1"/>
    <col min="4658" max="4663" width="12.28515625" style="304" customWidth="1"/>
    <col min="4664" max="4664" width="6.7109375" style="304" customWidth="1"/>
    <col min="4665" max="4864" width="10.28515625" style="304"/>
    <col min="4865" max="4865" width="14.85546875" style="304" customWidth="1"/>
    <col min="4866" max="4913" width="0" style="304" hidden="1" customWidth="1"/>
    <col min="4914" max="4919" width="12.28515625" style="304" customWidth="1"/>
    <col min="4920" max="4920" width="6.7109375" style="304" customWidth="1"/>
    <col min="4921" max="5120" width="10.28515625" style="304"/>
    <col min="5121" max="5121" width="14.85546875" style="304" customWidth="1"/>
    <col min="5122" max="5169" width="0" style="304" hidden="1" customWidth="1"/>
    <col min="5170" max="5175" width="12.28515625" style="304" customWidth="1"/>
    <col min="5176" max="5176" width="6.7109375" style="304" customWidth="1"/>
    <col min="5177" max="5376" width="10.28515625" style="304"/>
    <col min="5377" max="5377" width="14.85546875" style="304" customWidth="1"/>
    <col min="5378" max="5425" width="0" style="304" hidden="1" customWidth="1"/>
    <col min="5426" max="5431" width="12.28515625" style="304" customWidth="1"/>
    <col min="5432" max="5432" width="6.7109375" style="304" customWidth="1"/>
    <col min="5433" max="5632" width="10.28515625" style="304"/>
    <col min="5633" max="5633" width="14.85546875" style="304" customWidth="1"/>
    <col min="5634" max="5681" width="0" style="304" hidden="1" customWidth="1"/>
    <col min="5682" max="5687" width="12.28515625" style="304" customWidth="1"/>
    <col min="5688" max="5688" width="6.7109375" style="304" customWidth="1"/>
    <col min="5689" max="5888" width="10.28515625" style="304"/>
    <col min="5889" max="5889" width="14.85546875" style="304" customWidth="1"/>
    <col min="5890" max="5937" width="0" style="304" hidden="1" customWidth="1"/>
    <col min="5938" max="5943" width="12.28515625" style="304" customWidth="1"/>
    <col min="5944" max="5944" width="6.7109375" style="304" customWidth="1"/>
    <col min="5945" max="6144" width="10.28515625" style="304"/>
    <col min="6145" max="6145" width="14.85546875" style="304" customWidth="1"/>
    <col min="6146" max="6193" width="0" style="304" hidden="1" customWidth="1"/>
    <col min="6194" max="6199" width="12.28515625" style="304" customWidth="1"/>
    <col min="6200" max="6200" width="6.7109375" style="304" customWidth="1"/>
    <col min="6201" max="6400" width="10.28515625" style="304"/>
    <col min="6401" max="6401" width="14.85546875" style="304" customWidth="1"/>
    <col min="6402" max="6449" width="0" style="304" hidden="1" customWidth="1"/>
    <col min="6450" max="6455" width="12.28515625" style="304" customWidth="1"/>
    <col min="6456" max="6456" width="6.7109375" style="304" customWidth="1"/>
    <col min="6457" max="6656" width="10.28515625" style="304"/>
    <col min="6657" max="6657" width="14.85546875" style="304" customWidth="1"/>
    <col min="6658" max="6705" width="0" style="304" hidden="1" customWidth="1"/>
    <col min="6706" max="6711" width="12.28515625" style="304" customWidth="1"/>
    <col min="6712" max="6712" width="6.7109375" style="304" customWidth="1"/>
    <col min="6713" max="6912" width="10.28515625" style="304"/>
    <col min="6913" max="6913" width="14.85546875" style="304" customWidth="1"/>
    <col min="6914" max="6961" width="0" style="304" hidden="1" customWidth="1"/>
    <col min="6962" max="6967" width="12.28515625" style="304" customWidth="1"/>
    <col min="6968" max="6968" width="6.7109375" style="304" customWidth="1"/>
    <col min="6969" max="7168" width="10.28515625" style="304"/>
    <col min="7169" max="7169" width="14.85546875" style="304" customWidth="1"/>
    <col min="7170" max="7217" width="0" style="304" hidden="1" customWidth="1"/>
    <col min="7218" max="7223" width="12.28515625" style="304" customWidth="1"/>
    <col min="7224" max="7224" width="6.7109375" style="304" customWidth="1"/>
    <col min="7225" max="7424" width="10.28515625" style="304"/>
    <col min="7425" max="7425" width="14.85546875" style="304" customWidth="1"/>
    <col min="7426" max="7473" width="0" style="304" hidden="1" customWidth="1"/>
    <col min="7474" max="7479" width="12.28515625" style="304" customWidth="1"/>
    <col min="7480" max="7480" width="6.7109375" style="304" customWidth="1"/>
    <col min="7481" max="7680" width="10.28515625" style="304"/>
    <col min="7681" max="7681" width="14.85546875" style="304" customWidth="1"/>
    <col min="7682" max="7729" width="0" style="304" hidden="1" customWidth="1"/>
    <col min="7730" max="7735" width="12.28515625" style="304" customWidth="1"/>
    <col min="7736" max="7736" width="6.7109375" style="304" customWidth="1"/>
    <col min="7737" max="7936" width="10.28515625" style="304"/>
    <col min="7937" max="7937" width="14.85546875" style="304" customWidth="1"/>
    <col min="7938" max="7985" width="0" style="304" hidden="1" customWidth="1"/>
    <col min="7986" max="7991" width="12.28515625" style="304" customWidth="1"/>
    <col min="7992" max="7992" width="6.7109375" style="304" customWidth="1"/>
    <col min="7993" max="8192" width="10.28515625" style="304"/>
    <col min="8193" max="8193" width="14.85546875" style="304" customWidth="1"/>
    <col min="8194" max="8241" width="0" style="304" hidden="1" customWidth="1"/>
    <col min="8242" max="8247" width="12.28515625" style="304" customWidth="1"/>
    <col min="8248" max="8248" width="6.7109375" style="304" customWidth="1"/>
    <col min="8249" max="8448" width="10.28515625" style="304"/>
    <col min="8449" max="8449" width="14.85546875" style="304" customWidth="1"/>
    <col min="8450" max="8497" width="0" style="304" hidden="1" customWidth="1"/>
    <col min="8498" max="8503" width="12.28515625" style="304" customWidth="1"/>
    <col min="8504" max="8504" width="6.7109375" style="304" customWidth="1"/>
    <col min="8505" max="8704" width="10.28515625" style="304"/>
    <col min="8705" max="8705" width="14.85546875" style="304" customWidth="1"/>
    <col min="8706" max="8753" width="0" style="304" hidden="1" customWidth="1"/>
    <col min="8754" max="8759" width="12.28515625" style="304" customWidth="1"/>
    <col min="8760" max="8760" width="6.7109375" style="304" customWidth="1"/>
    <col min="8761" max="8960" width="10.28515625" style="304"/>
    <col min="8961" max="8961" width="14.85546875" style="304" customWidth="1"/>
    <col min="8962" max="9009" width="0" style="304" hidden="1" customWidth="1"/>
    <col min="9010" max="9015" width="12.28515625" style="304" customWidth="1"/>
    <col min="9016" max="9016" width="6.7109375" style="304" customWidth="1"/>
    <col min="9017" max="9216" width="10.28515625" style="304"/>
    <col min="9217" max="9217" width="14.85546875" style="304" customWidth="1"/>
    <col min="9218" max="9265" width="0" style="304" hidden="1" customWidth="1"/>
    <col min="9266" max="9271" width="12.28515625" style="304" customWidth="1"/>
    <col min="9272" max="9272" width="6.7109375" style="304" customWidth="1"/>
    <col min="9273" max="9472" width="10.28515625" style="304"/>
    <col min="9473" max="9473" width="14.85546875" style="304" customWidth="1"/>
    <col min="9474" max="9521" width="0" style="304" hidden="1" customWidth="1"/>
    <col min="9522" max="9527" width="12.28515625" style="304" customWidth="1"/>
    <col min="9528" max="9528" width="6.7109375" style="304" customWidth="1"/>
    <col min="9529" max="9728" width="10.28515625" style="304"/>
    <col min="9729" max="9729" width="14.85546875" style="304" customWidth="1"/>
    <col min="9730" max="9777" width="0" style="304" hidden="1" customWidth="1"/>
    <col min="9778" max="9783" width="12.28515625" style="304" customWidth="1"/>
    <col min="9784" max="9784" width="6.7109375" style="304" customWidth="1"/>
    <col min="9785" max="9984" width="10.28515625" style="304"/>
    <col min="9985" max="9985" width="14.85546875" style="304" customWidth="1"/>
    <col min="9986" max="10033" width="0" style="304" hidden="1" customWidth="1"/>
    <col min="10034" max="10039" width="12.28515625" style="304" customWidth="1"/>
    <col min="10040" max="10040" width="6.7109375" style="304" customWidth="1"/>
    <col min="10041" max="10240" width="10.28515625" style="304"/>
    <col min="10241" max="10241" width="14.85546875" style="304" customWidth="1"/>
    <col min="10242" max="10289" width="0" style="304" hidden="1" customWidth="1"/>
    <col min="10290" max="10295" width="12.28515625" style="304" customWidth="1"/>
    <col min="10296" max="10296" width="6.7109375" style="304" customWidth="1"/>
    <col min="10297" max="10496" width="10.28515625" style="304"/>
    <col min="10497" max="10497" width="14.85546875" style="304" customWidth="1"/>
    <col min="10498" max="10545" width="0" style="304" hidden="1" customWidth="1"/>
    <col min="10546" max="10551" width="12.28515625" style="304" customWidth="1"/>
    <col min="10552" max="10552" width="6.7109375" style="304" customWidth="1"/>
    <col min="10553" max="10752" width="10.28515625" style="304"/>
    <col min="10753" max="10753" width="14.85546875" style="304" customWidth="1"/>
    <col min="10754" max="10801" width="0" style="304" hidden="1" customWidth="1"/>
    <col min="10802" max="10807" width="12.28515625" style="304" customWidth="1"/>
    <col min="10808" max="10808" width="6.7109375" style="304" customWidth="1"/>
    <col min="10809" max="11008" width="10.28515625" style="304"/>
    <col min="11009" max="11009" width="14.85546875" style="304" customWidth="1"/>
    <col min="11010" max="11057" width="0" style="304" hidden="1" customWidth="1"/>
    <col min="11058" max="11063" width="12.28515625" style="304" customWidth="1"/>
    <col min="11064" max="11064" width="6.7109375" style="304" customWidth="1"/>
    <col min="11065" max="11264" width="10.28515625" style="304"/>
    <col min="11265" max="11265" width="14.85546875" style="304" customWidth="1"/>
    <col min="11266" max="11313" width="0" style="304" hidden="1" customWidth="1"/>
    <col min="11314" max="11319" width="12.28515625" style="304" customWidth="1"/>
    <col min="11320" max="11320" width="6.7109375" style="304" customWidth="1"/>
    <col min="11321" max="11520" width="10.28515625" style="304"/>
    <col min="11521" max="11521" width="14.85546875" style="304" customWidth="1"/>
    <col min="11522" max="11569" width="0" style="304" hidden="1" customWidth="1"/>
    <col min="11570" max="11575" width="12.28515625" style="304" customWidth="1"/>
    <col min="11576" max="11576" width="6.7109375" style="304" customWidth="1"/>
    <col min="11577" max="11776" width="10.28515625" style="304"/>
    <col min="11777" max="11777" width="14.85546875" style="304" customWidth="1"/>
    <col min="11778" max="11825" width="0" style="304" hidden="1" customWidth="1"/>
    <col min="11826" max="11831" width="12.28515625" style="304" customWidth="1"/>
    <col min="11832" max="11832" width="6.7109375" style="304" customWidth="1"/>
    <col min="11833" max="12032" width="10.28515625" style="304"/>
    <col min="12033" max="12033" width="14.85546875" style="304" customWidth="1"/>
    <col min="12034" max="12081" width="0" style="304" hidden="1" customWidth="1"/>
    <col min="12082" max="12087" width="12.28515625" style="304" customWidth="1"/>
    <col min="12088" max="12088" width="6.7109375" style="304" customWidth="1"/>
    <col min="12089" max="12288" width="10.28515625" style="304"/>
    <col min="12289" max="12289" width="14.85546875" style="304" customWidth="1"/>
    <col min="12290" max="12337" width="0" style="304" hidden="1" customWidth="1"/>
    <col min="12338" max="12343" width="12.28515625" style="304" customWidth="1"/>
    <col min="12344" max="12344" width="6.7109375" style="304" customWidth="1"/>
    <col min="12345" max="12544" width="10.28515625" style="304"/>
    <col min="12545" max="12545" width="14.85546875" style="304" customWidth="1"/>
    <col min="12546" max="12593" width="0" style="304" hidden="1" customWidth="1"/>
    <col min="12594" max="12599" width="12.28515625" style="304" customWidth="1"/>
    <col min="12600" max="12600" width="6.7109375" style="304" customWidth="1"/>
    <col min="12601" max="12800" width="10.28515625" style="304"/>
    <col min="12801" max="12801" width="14.85546875" style="304" customWidth="1"/>
    <col min="12802" max="12849" width="0" style="304" hidden="1" customWidth="1"/>
    <col min="12850" max="12855" width="12.28515625" style="304" customWidth="1"/>
    <col min="12856" max="12856" width="6.7109375" style="304" customWidth="1"/>
    <col min="12857" max="13056" width="10.28515625" style="304"/>
    <col min="13057" max="13057" width="14.85546875" style="304" customWidth="1"/>
    <col min="13058" max="13105" width="0" style="304" hidden="1" customWidth="1"/>
    <col min="13106" max="13111" width="12.28515625" style="304" customWidth="1"/>
    <col min="13112" max="13112" width="6.7109375" style="304" customWidth="1"/>
    <col min="13113" max="13312" width="10.28515625" style="304"/>
    <col min="13313" max="13313" width="14.85546875" style="304" customWidth="1"/>
    <col min="13314" max="13361" width="0" style="304" hidden="1" customWidth="1"/>
    <col min="13362" max="13367" width="12.28515625" style="304" customWidth="1"/>
    <col min="13368" max="13368" width="6.7109375" style="304" customWidth="1"/>
    <col min="13369" max="13568" width="10.28515625" style="304"/>
    <col min="13569" max="13569" width="14.85546875" style="304" customWidth="1"/>
    <col min="13570" max="13617" width="0" style="304" hidden="1" customWidth="1"/>
    <col min="13618" max="13623" width="12.28515625" style="304" customWidth="1"/>
    <col min="13624" max="13624" width="6.7109375" style="304" customWidth="1"/>
    <col min="13625" max="13824" width="10.28515625" style="304"/>
    <col min="13825" max="13825" width="14.85546875" style="304" customWidth="1"/>
    <col min="13826" max="13873" width="0" style="304" hidden="1" customWidth="1"/>
    <col min="13874" max="13879" width="12.28515625" style="304" customWidth="1"/>
    <col min="13880" max="13880" width="6.7109375" style="304" customWidth="1"/>
    <col min="13881" max="14080" width="10.28515625" style="304"/>
    <col min="14081" max="14081" width="14.85546875" style="304" customWidth="1"/>
    <col min="14082" max="14129" width="0" style="304" hidden="1" customWidth="1"/>
    <col min="14130" max="14135" width="12.28515625" style="304" customWidth="1"/>
    <col min="14136" max="14136" width="6.7109375" style="304" customWidth="1"/>
    <col min="14137" max="14336" width="10.28515625" style="304"/>
    <col min="14337" max="14337" width="14.85546875" style="304" customWidth="1"/>
    <col min="14338" max="14385" width="0" style="304" hidden="1" customWidth="1"/>
    <col min="14386" max="14391" width="12.28515625" style="304" customWidth="1"/>
    <col min="14392" max="14392" width="6.7109375" style="304" customWidth="1"/>
    <col min="14393" max="14592" width="10.28515625" style="304"/>
    <col min="14593" max="14593" width="14.85546875" style="304" customWidth="1"/>
    <col min="14594" max="14641" width="0" style="304" hidden="1" customWidth="1"/>
    <col min="14642" max="14647" width="12.28515625" style="304" customWidth="1"/>
    <col min="14648" max="14648" width="6.7109375" style="304" customWidth="1"/>
    <col min="14649" max="14848" width="10.28515625" style="304"/>
    <col min="14849" max="14849" width="14.85546875" style="304" customWidth="1"/>
    <col min="14850" max="14897" width="0" style="304" hidden="1" customWidth="1"/>
    <col min="14898" max="14903" width="12.28515625" style="304" customWidth="1"/>
    <col min="14904" max="14904" width="6.7109375" style="304" customWidth="1"/>
    <col min="14905" max="15104" width="10.28515625" style="304"/>
    <col min="15105" max="15105" width="14.85546875" style="304" customWidth="1"/>
    <col min="15106" max="15153" width="0" style="304" hidden="1" customWidth="1"/>
    <col min="15154" max="15159" width="12.28515625" style="304" customWidth="1"/>
    <col min="15160" max="15160" width="6.7109375" style="304" customWidth="1"/>
    <col min="15161" max="15360" width="10.28515625" style="304"/>
    <col min="15361" max="15361" width="14.85546875" style="304" customWidth="1"/>
    <col min="15362" max="15409" width="0" style="304" hidden="1" customWidth="1"/>
    <col min="15410" max="15415" width="12.28515625" style="304" customWidth="1"/>
    <col min="15416" max="15416" width="6.7109375" style="304" customWidth="1"/>
    <col min="15417" max="15616" width="10.28515625" style="304"/>
    <col min="15617" max="15617" width="14.85546875" style="304" customWidth="1"/>
    <col min="15618" max="15665" width="0" style="304" hidden="1" customWidth="1"/>
    <col min="15666" max="15671" width="12.28515625" style="304" customWidth="1"/>
    <col min="15672" max="15672" width="6.7109375" style="304" customWidth="1"/>
    <col min="15673" max="15872" width="10.28515625" style="304"/>
    <col min="15873" max="15873" width="14.85546875" style="304" customWidth="1"/>
    <col min="15874" max="15921" width="0" style="304" hidden="1" customWidth="1"/>
    <col min="15922" max="15927" width="12.28515625" style="304" customWidth="1"/>
    <col min="15928" max="15928" width="6.7109375" style="304" customWidth="1"/>
    <col min="15929" max="16128" width="10.28515625" style="304"/>
    <col min="16129" max="16129" width="14.85546875" style="304" customWidth="1"/>
    <col min="16130" max="16177" width="0" style="304" hidden="1" customWidth="1"/>
    <col min="16178" max="16183" width="12.28515625" style="304" customWidth="1"/>
    <col min="16184" max="16184" width="6.7109375" style="304" customWidth="1"/>
    <col min="16185" max="16384" width="10.28515625" style="304"/>
  </cols>
  <sheetData>
    <row r="1" spans="1:55" s="382" customFormat="1" ht="15.6" customHeight="1">
      <c r="A1" s="1539" t="s">
        <v>403</v>
      </c>
      <c r="B1" s="1540"/>
      <c r="C1" s="1540"/>
      <c r="D1" s="1540"/>
      <c r="E1" s="1540"/>
      <c r="F1" s="1540"/>
      <c r="G1" s="1540"/>
      <c r="H1" s="1540"/>
      <c r="I1" s="1540"/>
      <c r="J1" s="1540"/>
      <c r="K1" s="1540"/>
      <c r="L1" s="1540"/>
      <c r="M1" s="1540"/>
      <c r="N1" s="1540"/>
      <c r="O1" s="1540"/>
      <c r="P1" s="1540"/>
      <c r="Q1" s="1540"/>
      <c r="R1" s="1540"/>
      <c r="S1" s="1540"/>
      <c r="T1" s="1540"/>
      <c r="U1" s="1540"/>
      <c r="V1" s="1540"/>
      <c r="W1" s="1540"/>
      <c r="X1" s="1540"/>
      <c r="Y1" s="1540"/>
      <c r="Z1" s="1540"/>
      <c r="AA1" s="1540"/>
      <c r="AB1" s="1540"/>
      <c r="AC1" s="1540"/>
      <c r="AD1" s="1540"/>
      <c r="AE1" s="1540"/>
      <c r="AF1" s="1540"/>
      <c r="AG1" s="1540"/>
      <c r="AH1" s="1540"/>
      <c r="AI1" s="1540"/>
      <c r="AJ1" s="1540"/>
      <c r="AK1" s="1540"/>
      <c r="AL1" s="1540"/>
      <c r="AM1" s="1540"/>
      <c r="AN1" s="1540"/>
      <c r="AO1" s="1540"/>
      <c r="AP1" s="1540"/>
      <c r="AQ1" s="1540"/>
      <c r="AR1" s="1540"/>
      <c r="AS1" s="1540"/>
      <c r="AT1" s="1540"/>
      <c r="AU1" s="1540"/>
      <c r="AV1" s="1540"/>
      <c r="AW1" s="1540"/>
      <c r="AX1" s="1540"/>
      <c r="AY1" s="1540"/>
      <c r="AZ1" s="1540"/>
      <c r="BA1" s="1540"/>
      <c r="BB1" s="1540"/>
      <c r="BC1" s="1541"/>
    </row>
    <row r="2" spans="1:55" ht="16.899999999999999" customHeight="1">
      <c r="A2" s="1542" t="s">
        <v>371</v>
      </c>
      <c r="B2" s="1543"/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  <c r="S2" s="1543"/>
      <c r="T2" s="1543"/>
      <c r="U2" s="1543"/>
      <c r="V2" s="1543"/>
      <c r="W2" s="1543"/>
      <c r="X2" s="1543"/>
      <c r="Y2" s="1543"/>
      <c r="Z2" s="1543"/>
      <c r="AA2" s="1543"/>
      <c r="AB2" s="1543"/>
      <c r="AC2" s="1543"/>
      <c r="AD2" s="1543"/>
      <c r="AE2" s="1543"/>
      <c r="AF2" s="1543"/>
      <c r="AG2" s="1543"/>
      <c r="AH2" s="1543"/>
      <c r="AI2" s="1543"/>
      <c r="AJ2" s="1543"/>
      <c r="AK2" s="1543"/>
      <c r="AL2" s="1543"/>
      <c r="AM2" s="1543"/>
      <c r="AN2" s="1543"/>
      <c r="AO2" s="1543"/>
      <c r="AP2" s="1543"/>
      <c r="AQ2" s="1543"/>
      <c r="AR2" s="1543"/>
      <c r="AS2" s="1543"/>
      <c r="AT2" s="1543"/>
      <c r="AU2" s="1543"/>
      <c r="AV2" s="1543"/>
      <c r="AW2" s="1543"/>
      <c r="AX2" s="1543"/>
      <c r="AY2" s="1543"/>
      <c r="AZ2" s="1543"/>
      <c r="BA2" s="1543"/>
      <c r="BB2" s="1543"/>
      <c r="BC2" s="1544"/>
    </row>
    <row r="3" spans="1:55" s="313" customFormat="1" ht="13.9" customHeight="1">
      <c r="A3" s="1545" t="s">
        <v>79</v>
      </c>
      <c r="B3" s="1537" t="s">
        <v>404</v>
      </c>
      <c r="C3" s="1536"/>
      <c r="D3" s="1535" t="s">
        <v>405</v>
      </c>
      <c r="E3" s="1536"/>
      <c r="F3" s="1535" t="s">
        <v>406</v>
      </c>
      <c r="G3" s="1536"/>
      <c r="H3" s="1535" t="s">
        <v>407</v>
      </c>
      <c r="I3" s="1536"/>
      <c r="J3" s="1535" t="s">
        <v>8</v>
      </c>
      <c r="K3" s="1536"/>
      <c r="L3" s="1535" t="s">
        <v>12</v>
      </c>
      <c r="M3" s="1536"/>
      <c r="N3" s="1535" t="s">
        <v>13</v>
      </c>
      <c r="O3" s="1536"/>
      <c r="P3" s="1535" t="s">
        <v>14</v>
      </c>
      <c r="Q3" s="1536"/>
      <c r="R3" s="1535" t="s">
        <v>92</v>
      </c>
      <c r="S3" s="1536"/>
      <c r="T3" s="1535" t="s">
        <v>103</v>
      </c>
      <c r="U3" s="1536"/>
      <c r="V3" s="1535" t="s">
        <v>109</v>
      </c>
      <c r="W3" s="1536"/>
      <c r="X3" s="1535" t="s">
        <v>126</v>
      </c>
      <c r="Y3" s="1536"/>
      <c r="Z3" s="1535" t="s">
        <v>128</v>
      </c>
      <c r="AA3" s="1536"/>
      <c r="AB3" s="1535" t="s">
        <v>133</v>
      </c>
      <c r="AC3" s="1537"/>
      <c r="AD3" s="1535" t="s">
        <v>211</v>
      </c>
      <c r="AE3" s="1536"/>
      <c r="AF3" s="1531" t="s">
        <v>219</v>
      </c>
      <c r="AG3" s="1538"/>
      <c r="AH3" s="1531" t="s">
        <v>222</v>
      </c>
      <c r="AI3" s="1538"/>
      <c r="AJ3" s="1531" t="s">
        <v>226</v>
      </c>
      <c r="AK3" s="1532"/>
      <c r="AL3" s="1533" t="s">
        <v>229</v>
      </c>
      <c r="AM3" s="1533"/>
      <c r="AN3" s="1533" t="s">
        <v>258</v>
      </c>
      <c r="AO3" s="1533"/>
      <c r="AP3" s="1533" t="s">
        <v>281</v>
      </c>
      <c r="AQ3" s="1533"/>
      <c r="AR3" s="1533" t="s">
        <v>293</v>
      </c>
      <c r="AS3" s="1533"/>
      <c r="AT3" s="1533" t="s">
        <v>301</v>
      </c>
      <c r="AU3" s="1533"/>
      <c r="AV3" s="1533" t="s">
        <v>309</v>
      </c>
      <c r="AW3" s="1531"/>
      <c r="AX3" s="1533" t="s">
        <v>319</v>
      </c>
      <c r="AY3" s="1533"/>
      <c r="AZ3" s="1533" t="s">
        <v>332</v>
      </c>
      <c r="BA3" s="1533"/>
      <c r="BB3" s="1533" t="s">
        <v>345</v>
      </c>
      <c r="BC3" s="1534"/>
    </row>
    <row r="4" spans="1:55" s="447" customFormat="1" ht="21.4" customHeight="1">
      <c r="A4" s="1546"/>
      <c r="B4" s="434" t="s">
        <v>24</v>
      </c>
      <c r="C4" s="435" t="s">
        <v>102</v>
      </c>
      <c r="D4" s="435" t="s">
        <v>24</v>
      </c>
      <c r="E4" s="435" t="s">
        <v>102</v>
      </c>
      <c r="F4" s="435" t="s">
        <v>24</v>
      </c>
      <c r="G4" s="435" t="s">
        <v>102</v>
      </c>
      <c r="H4" s="435" t="s">
        <v>24</v>
      </c>
      <c r="I4" s="435" t="s">
        <v>102</v>
      </c>
      <c r="J4" s="435" t="s">
        <v>24</v>
      </c>
      <c r="K4" s="435" t="s">
        <v>102</v>
      </c>
      <c r="L4" s="435" t="s">
        <v>24</v>
      </c>
      <c r="M4" s="436" t="s">
        <v>102</v>
      </c>
      <c r="N4" s="435" t="s">
        <v>24</v>
      </c>
      <c r="O4" s="435" t="s">
        <v>102</v>
      </c>
      <c r="P4" s="435" t="s">
        <v>24</v>
      </c>
      <c r="Q4" s="435" t="s">
        <v>102</v>
      </c>
      <c r="R4" s="435" t="s">
        <v>24</v>
      </c>
      <c r="S4" s="435" t="s">
        <v>102</v>
      </c>
      <c r="T4" s="435" t="s">
        <v>24</v>
      </c>
      <c r="U4" s="436" t="s">
        <v>102</v>
      </c>
      <c r="V4" s="435" t="s">
        <v>24</v>
      </c>
      <c r="W4" s="435" t="s">
        <v>102</v>
      </c>
      <c r="X4" s="437" t="s">
        <v>24</v>
      </c>
      <c r="Y4" s="437" t="s">
        <v>102</v>
      </c>
      <c r="Z4" s="437" t="s">
        <v>24</v>
      </c>
      <c r="AA4" s="437" t="s">
        <v>102</v>
      </c>
      <c r="AB4" s="437" t="s">
        <v>24</v>
      </c>
      <c r="AC4" s="438" t="s">
        <v>102</v>
      </c>
      <c r="AD4" s="438" t="s">
        <v>24</v>
      </c>
      <c r="AE4" s="438" t="s">
        <v>102</v>
      </c>
      <c r="AF4" s="439" t="s">
        <v>24</v>
      </c>
      <c r="AG4" s="440" t="s">
        <v>102</v>
      </c>
      <c r="AH4" s="439" t="s">
        <v>24</v>
      </c>
      <c r="AI4" s="440" t="s">
        <v>102</v>
      </c>
      <c r="AJ4" s="439" t="s">
        <v>24</v>
      </c>
      <c r="AK4" s="441" t="s">
        <v>102</v>
      </c>
      <c r="AL4" s="436" t="s">
        <v>24</v>
      </c>
      <c r="AM4" s="442" t="s">
        <v>102</v>
      </c>
      <c r="AN4" s="436" t="s">
        <v>24</v>
      </c>
      <c r="AO4" s="442" t="s">
        <v>102</v>
      </c>
      <c r="AP4" s="436" t="s">
        <v>24</v>
      </c>
      <c r="AQ4" s="442" t="s">
        <v>102</v>
      </c>
      <c r="AR4" s="436" t="s">
        <v>24</v>
      </c>
      <c r="AS4" s="443" t="s">
        <v>102</v>
      </c>
      <c r="AT4" s="436" t="s">
        <v>24</v>
      </c>
      <c r="AU4" s="443" t="s">
        <v>102</v>
      </c>
      <c r="AV4" s="436" t="s">
        <v>24</v>
      </c>
      <c r="AW4" s="444" t="s">
        <v>102</v>
      </c>
      <c r="AX4" s="436" t="s">
        <v>24</v>
      </c>
      <c r="AY4" s="443" t="s">
        <v>102</v>
      </c>
      <c r="AZ4" s="436" t="s">
        <v>24</v>
      </c>
      <c r="BA4" s="443" t="s">
        <v>102</v>
      </c>
      <c r="BB4" s="436" t="s">
        <v>24</v>
      </c>
      <c r="BC4" s="445" t="s">
        <v>102</v>
      </c>
    </row>
    <row r="5" spans="1:55" s="447" customFormat="1" ht="13.9" customHeight="1">
      <c r="A5" s="448" t="s">
        <v>162</v>
      </c>
      <c r="B5" s="449" t="s">
        <v>163</v>
      </c>
      <c r="C5" s="450" t="s">
        <v>164</v>
      </c>
      <c r="D5" s="450" t="s">
        <v>165</v>
      </c>
      <c r="E5" s="450" t="s">
        <v>166</v>
      </c>
      <c r="F5" s="450" t="s">
        <v>167</v>
      </c>
      <c r="G5" s="450" t="s">
        <v>168</v>
      </c>
      <c r="H5" s="451"/>
      <c r="I5" s="451"/>
      <c r="J5" s="451"/>
      <c r="K5" s="451"/>
      <c r="L5" s="451"/>
      <c r="M5" s="452"/>
      <c r="N5" s="451"/>
      <c r="O5" s="451"/>
      <c r="P5" s="451"/>
      <c r="Q5" s="451"/>
      <c r="R5" s="451"/>
      <c r="S5" s="451"/>
      <c r="T5" s="453" t="s">
        <v>163</v>
      </c>
      <c r="U5" s="453" t="s">
        <v>164</v>
      </c>
      <c r="V5" s="454" t="s">
        <v>163</v>
      </c>
      <c r="W5" s="454" t="s">
        <v>164</v>
      </c>
      <c r="X5" s="453" t="s">
        <v>165</v>
      </c>
      <c r="Y5" s="454" t="s">
        <v>166</v>
      </c>
      <c r="Z5" s="453" t="s">
        <v>167</v>
      </c>
      <c r="AA5" s="453" t="s">
        <v>168</v>
      </c>
      <c r="AB5" s="453" t="s">
        <v>169</v>
      </c>
      <c r="AC5" s="453" t="s">
        <v>170</v>
      </c>
      <c r="AD5" s="450" t="s">
        <v>163</v>
      </c>
      <c r="AE5" s="450" t="s">
        <v>164</v>
      </c>
      <c r="AF5" s="455" t="s">
        <v>165</v>
      </c>
      <c r="AG5" s="456" t="s">
        <v>166</v>
      </c>
      <c r="AH5" s="457" t="s">
        <v>163</v>
      </c>
      <c r="AI5" s="458" t="s">
        <v>164</v>
      </c>
      <c r="AJ5" s="457" t="s">
        <v>163</v>
      </c>
      <c r="AK5" s="459" t="s">
        <v>164</v>
      </c>
      <c r="AL5" s="460" t="s">
        <v>163</v>
      </c>
      <c r="AM5" s="461" t="s">
        <v>164</v>
      </c>
      <c r="AN5" s="460" t="s">
        <v>163</v>
      </c>
      <c r="AO5" s="461" t="s">
        <v>164</v>
      </c>
      <c r="AP5" s="460" t="s">
        <v>163</v>
      </c>
      <c r="AQ5" s="461" t="s">
        <v>164</v>
      </c>
      <c r="AR5" s="460" t="s">
        <v>163</v>
      </c>
      <c r="AS5" s="461" t="s">
        <v>164</v>
      </c>
      <c r="AT5" s="460" t="s">
        <v>163</v>
      </c>
      <c r="AU5" s="461" t="s">
        <v>164</v>
      </c>
      <c r="AV5" s="460" t="s">
        <v>163</v>
      </c>
      <c r="AW5" s="462" t="s">
        <v>164</v>
      </c>
      <c r="AX5" s="460" t="s">
        <v>163</v>
      </c>
      <c r="AY5" s="461" t="s">
        <v>164</v>
      </c>
      <c r="AZ5" s="460" t="s">
        <v>165</v>
      </c>
      <c r="BA5" s="461" t="s">
        <v>166</v>
      </c>
      <c r="BB5" s="462" t="s">
        <v>167</v>
      </c>
      <c r="BC5" s="463" t="s">
        <v>168</v>
      </c>
    </row>
    <row r="6" spans="1:55" s="447" customFormat="1" ht="16.149999999999999" customHeight="1">
      <c r="A6" s="464" t="s">
        <v>408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6"/>
      <c r="N6" s="465"/>
      <c r="O6" s="465"/>
      <c r="P6" s="465"/>
      <c r="Q6" s="446"/>
      <c r="R6" s="446"/>
      <c r="S6" s="446"/>
      <c r="T6" s="446"/>
      <c r="U6" s="467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9"/>
      <c r="AG6" s="470"/>
      <c r="AH6" s="469"/>
      <c r="AI6" s="470"/>
      <c r="AJ6" s="471"/>
      <c r="AK6" s="472"/>
      <c r="AL6" s="471"/>
      <c r="AM6" s="472"/>
      <c r="AN6" s="471"/>
      <c r="AO6" s="472"/>
      <c r="AP6" s="469"/>
      <c r="AQ6" s="472"/>
      <c r="AR6" s="471"/>
      <c r="AS6" s="473"/>
      <c r="AT6" s="471"/>
      <c r="AU6" s="473"/>
      <c r="AV6" s="471"/>
      <c r="AW6" s="474"/>
      <c r="AX6" s="471"/>
      <c r="AY6" s="473"/>
      <c r="AZ6" s="471"/>
      <c r="BA6" s="473"/>
      <c r="BB6" s="471"/>
      <c r="BC6" s="475"/>
    </row>
    <row r="7" spans="1:55" s="313" customFormat="1" ht="13.9" customHeight="1">
      <c r="A7" s="336" t="s">
        <v>37</v>
      </c>
      <c r="B7" s="476">
        <v>6.1669999999999998</v>
      </c>
      <c r="C7" s="477">
        <f t="shared" ref="C7:C12" si="0">100*B7/B$66</f>
        <v>12.923573419392692</v>
      </c>
      <c r="D7" s="478">
        <v>7.2119999999999997</v>
      </c>
      <c r="E7" s="477">
        <f t="shared" ref="E7:E12" si="1">100*D7/D$66</f>
        <v>15.729552889858233</v>
      </c>
      <c r="F7" s="478">
        <v>5.1909999999999998</v>
      </c>
      <c r="G7" s="477">
        <f t="shared" ref="G7:G12" si="2">100*F7/F$66</f>
        <v>12.29861637604246</v>
      </c>
      <c r="H7" s="478">
        <v>5.0860000000000003</v>
      </c>
      <c r="I7" s="477">
        <f t="shared" ref="I7:I12" si="3">100*H7/H$66</f>
        <v>12.215683919779035</v>
      </c>
      <c r="J7" s="478">
        <v>5.9029999999999996</v>
      </c>
      <c r="K7" s="477">
        <f t="shared" ref="K7:K12" si="4">100*J7/J$66</f>
        <v>14.725986389127275</v>
      </c>
      <c r="L7" s="478">
        <v>4.476</v>
      </c>
      <c r="M7" s="477">
        <f t="shared" ref="M7:M12" si="5">100*L7/L$66</f>
        <v>15.24055977391127</v>
      </c>
      <c r="N7" s="478">
        <v>2.4049999999999998</v>
      </c>
      <c r="O7" s="477">
        <f t="shared" ref="O7:O12" si="6">100*N7/N$66</f>
        <v>11.208463438504918</v>
      </c>
      <c r="P7" s="478">
        <v>2.4670000000000001</v>
      </c>
      <c r="Q7" s="477">
        <f t="shared" ref="Q7:Q12" si="7">100*P7/P$66</f>
        <v>13.581062482796588</v>
      </c>
      <c r="R7" s="479">
        <v>2.355</v>
      </c>
      <c r="S7" s="477">
        <f t="shared" ref="S7:S12" si="8">100*R7/R$66</f>
        <v>12.136672850958563</v>
      </c>
      <c r="T7" s="479">
        <v>2.903</v>
      </c>
      <c r="U7" s="477">
        <f t="shared" ref="U7:U12" si="9">100*T7/T$66</f>
        <v>13.634869193555962</v>
      </c>
      <c r="V7" s="479">
        <v>2.968</v>
      </c>
      <c r="W7" s="477">
        <f t="shared" ref="W7:W12" si="10">100*V7/V$66</f>
        <v>12.386795208881097</v>
      </c>
      <c r="X7" s="479">
        <v>5.3760000000000003</v>
      </c>
      <c r="Y7" s="477">
        <f t="shared" ref="Y7:Y12" si="11">100*X7/X$66</f>
        <v>15.668901194986887</v>
      </c>
      <c r="Z7" s="479" t="e">
        <f>SUMIF('[1]ST 7'!B$6:B$59,A7,'[1]ST 7'!AJ$6:AJ$60)</f>
        <v>#VALUE!</v>
      </c>
      <c r="AA7" s="477" t="e">
        <f t="shared" ref="AA7:AA12" si="12">100*Z7/Z$66</f>
        <v>#VALUE!</v>
      </c>
      <c r="AB7" s="479">
        <v>4.6340000000000003</v>
      </c>
      <c r="AC7" s="477">
        <f t="shared" ref="AC7:AC12" si="13">100*AB7/AB$66</f>
        <v>9.9150565932772761</v>
      </c>
      <c r="AD7" s="480">
        <v>2.5209999999999999</v>
      </c>
      <c r="AE7" s="477">
        <f t="shared" ref="AE7:AE12" si="14">100*AD7/AD$66</f>
        <v>5.3435923523676285</v>
      </c>
      <c r="AF7" s="481">
        <v>3.282</v>
      </c>
      <c r="AG7" s="482">
        <f t="shared" ref="AG7:AG12" si="15">100*AF7/AF$66</f>
        <v>5.0786085664768512</v>
      </c>
      <c r="AH7" s="481">
        <v>4.3419999999999996</v>
      </c>
      <c r="AI7" s="482">
        <f t="shared" ref="AI7:AI12" si="16">100*AH7/AH$66</f>
        <v>6.0161835614919905</v>
      </c>
      <c r="AJ7" s="481">
        <v>4.0460000000000003</v>
      </c>
      <c r="AK7" s="482">
        <f t="shared" ref="AK7:AK12" si="17">100*AJ7/AJ$66</f>
        <v>5.4660902458794922</v>
      </c>
      <c r="AL7" s="480">
        <v>2.1139999999999999</v>
      </c>
      <c r="AM7" s="482">
        <f t="shared" ref="AM7:AM12" si="18">100*AL7/AL$66</f>
        <v>3.3529477073387359</v>
      </c>
      <c r="AN7" s="480">
        <v>1.913</v>
      </c>
      <c r="AO7" s="482">
        <f t="shared" ref="AO7:AO12" si="19">100*AN7/AN$66</f>
        <v>3.4459775912382469</v>
      </c>
      <c r="AP7" s="481">
        <v>3.4510000000000001</v>
      </c>
      <c r="AQ7" s="482">
        <f t="shared" ref="AQ7:AQ12" si="20">100*AP7/AP$66</f>
        <v>5.8108403913182594</v>
      </c>
      <c r="AR7" s="481">
        <v>5.0549999999999997</v>
      </c>
      <c r="AS7" s="482">
        <f t="shared" ref="AS7:AS13" si="21">100*AR7/AR$66</f>
        <v>7.7339697985036961</v>
      </c>
      <c r="AT7" s="481">
        <v>2.5529999999999999</v>
      </c>
      <c r="AU7" s="482">
        <f t="shared" ref="AU7:AU16" si="22">100*AT7/AT$66</f>
        <v>3.320370924319473</v>
      </c>
      <c r="AV7" s="481">
        <v>2.496</v>
      </c>
      <c r="AW7" s="483" t="e">
        <f t="shared" ref="AW7:AW16" si="23">100*AV7/AV$66</f>
        <v>#VALUE!</v>
      </c>
      <c r="AX7" s="484">
        <v>2.2489999999999997</v>
      </c>
      <c r="AY7" s="485">
        <f t="shared" ref="AY7:AY16" si="24">100*AX7/AX$66</f>
        <v>3.9018043025676605</v>
      </c>
      <c r="AZ7" s="484">
        <v>3.3360000000000003</v>
      </c>
      <c r="BA7" s="485">
        <f t="shared" ref="BA7:BA16" si="25">100*AZ7/AZ$66</f>
        <v>4.0966696139109908</v>
      </c>
      <c r="BB7" s="484" t="e">
        <f>SUMIF('[2]ST 7'!$B$6:$B$80,$A7,'[2]ST 7'!$AO$6:$AO$80)</f>
        <v>#VALUE!</v>
      </c>
      <c r="BC7" s="486" t="e">
        <f t="shared" ref="BC7:BC16" si="26">100*BB7/BB$66</f>
        <v>#VALUE!</v>
      </c>
    </row>
    <row r="8" spans="1:55" s="313" customFormat="1" ht="13.9" customHeight="1">
      <c r="A8" s="350" t="s">
        <v>38</v>
      </c>
      <c r="B8" s="487">
        <v>8.0229999999999997</v>
      </c>
      <c r="C8" s="488">
        <f t="shared" si="0"/>
        <v>16.813009493074038</v>
      </c>
      <c r="D8" s="489">
        <v>8.5559999999999992</v>
      </c>
      <c r="E8" s="488">
        <f t="shared" si="1"/>
        <v>18.660850599781899</v>
      </c>
      <c r="F8" s="489">
        <v>8.26</v>
      </c>
      <c r="G8" s="488">
        <f t="shared" si="2"/>
        <v>19.569749810462476</v>
      </c>
      <c r="H8" s="489">
        <v>10.946</v>
      </c>
      <c r="I8" s="488">
        <f t="shared" si="3"/>
        <v>26.290380689323889</v>
      </c>
      <c r="J8" s="489">
        <v>4.7610000000000001</v>
      </c>
      <c r="K8" s="488">
        <f t="shared" si="4"/>
        <v>11.877083042289508</v>
      </c>
      <c r="L8" s="489">
        <v>2.5430000000000001</v>
      </c>
      <c r="M8" s="488">
        <f t="shared" si="5"/>
        <v>8.6587898804862284</v>
      </c>
      <c r="N8" s="489">
        <v>2.0310000000000001</v>
      </c>
      <c r="O8" s="488">
        <f t="shared" si="6"/>
        <v>9.4654425129328441</v>
      </c>
      <c r="P8" s="489">
        <v>2.048</v>
      </c>
      <c r="Q8" s="488">
        <f t="shared" si="7"/>
        <v>11.274428846683183</v>
      </c>
      <c r="R8" s="490">
        <v>4.0270000000000001</v>
      </c>
      <c r="S8" s="488">
        <f t="shared" si="8"/>
        <v>20.753452896310034</v>
      </c>
      <c r="T8" s="490">
        <v>2.923</v>
      </c>
      <c r="U8" s="488">
        <f t="shared" si="9"/>
        <v>13.728805598609741</v>
      </c>
      <c r="V8" s="490">
        <v>2.79</v>
      </c>
      <c r="W8" s="488">
        <f t="shared" si="10"/>
        <v>11.643921372229871</v>
      </c>
      <c r="X8" s="490">
        <v>3.762</v>
      </c>
      <c r="Y8" s="488">
        <f t="shared" si="11"/>
        <v>10.964733313902654</v>
      </c>
      <c r="Z8" s="490" t="e">
        <f>SUMIF('[1]ST 7'!B$6:B$59,A8,'[1]ST 7'!AJ$6:AJ$60)</f>
        <v>#VALUE!</v>
      </c>
      <c r="AA8" s="488" t="e">
        <f t="shared" si="12"/>
        <v>#VALUE!</v>
      </c>
      <c r="AB8" s="490">
        <v>4.9769999999999994</v>
      </c>
      <c r="AC8" s="488">
        <f t="shared" si="13"/>
        <v>10.648950510302328</v>
      </c>
      <c r="AD8" s="491">
        <v>5.8459999999999992</v>
      </c>
      <c r="AE8" s="488">
        <f t="shared" si="14"/>
        <v>12.391368858366185</v>
      </c>
      <c r="AF8" s="492">
        <v>8.2829999999999995</v>
      </c>
      <c r="AG8" s="493">
        <f t="shared" si="15"/>
        <v>12.817219608814064</v>
      </c>
      <c r="AH8" s="492">
        <v>7.9509999999999996</v>
      </c>
      <c r="AI8" s="493">
        <f t="shared" si="16"/>
        <v>11.016737793049934</v>
      </c>
      <c r="AJ8" s="492">
        <v>6.9550000000000001</v>
      </c>
      <c r="AK8" s="493">
        <f t="shared" si="17"/>
        <v>9.3961091596865725</v>
      </c>
      <c r="AL8" s="491">
        <v>5.0900000000000007</v>
      </c>
      <c r="AM8" s="493">
        <f t="shared" si="18"/>
        <v>8.0730860124664936</v>
      </c>
      <c r="AN8" s="491">
        <v>3.5760000000000001</v>
      </c>
      <c r="AO8" s="493">
        <f t="shared" si="19"/>
        <v>6.4416183305112229</v>
      </c>
      <c r="AP8" s="492">
        <v>4.3620000000000001</v>
      </c>
      <c r="AQ8" s="493">
        <f t="shared" si="20"/>
        <v>7.3447944905622267</v>
      </c>
      <c r="AR8" s="492">
        <v>4.016</v>
      </c>
      <c r="AS8" s="493">
        <f t="shared" si="21"/>
        <v>6.1443368369517</v>
      </c>
      <c r="AT8" s="492">
        <v>6.1989999999999998</v>
      </c>
      <c r="AU8" s="493">
        <f t="shared" si="22"/>
        <v>8.0622715863127343</v>
      </c>
      <c r="AV8" s="492">
        <v>5.4160000000000004</v>
      </c>
      <c r="AW8" s="494" t="e">
        <f t="shared" si="23"/>
        <v>#VALUE!</v>
      </c>
      <c r="AX8" s="495">
        <v>3.4159999999999999</v>
      </c>
      <c r="AY8" s="496">
        <f t="shared" si="24"/>
        <v>5.9264399722414973</v>
      </c>
      <c r="AZ8" s="495">
        <v>2.3140000000000001</v>
      </c>
      <c r="BA8" s="496">
        <f t="shared" si="25"/>
        <v>2.8416347381864608</v>
      </c>
      <c r="BB8" s="495" t="e">
        <f>SUMIF('[2]ST 7'!$B$6:$B$80,$A8,'[2]ST 7'!$AO$6:$AO$80)</f>
        <v>#VALUE!</v>
      </c>
      <c r="BC8" s="497" t="e">
        <f t="shared" si="26"/>
        <v>#VALUE!</v>
      </c>
    </row>
    <row r="9" spans="1:55" s="313" customFormat="1" ht="13.9" customHeight="1">
      <c r="A9" s="350" t="s">
        <v>39</v>
      </c>
      <c r="B9" s="487">
        <v>11.132</v>
      </c>
      <c r="C9" s="488">
        <f t="shared" si="0"/>
        <v>23.328234036756847</v>
      </c>
      <c r="D9" s="489">
        <v>10.573</v>
      </c>
      <c r="E9" s="488">
        <f t="shared" si="1"/>
        <v>23.059978189749184</v>
      </c>
      <c r="F9" s="489">
        <v>11.209</v>
      </c>
      <c r="G9" s="488">
        <f t="shared" si="2"/>
        <v>26.556576952236544</v>
      </c>
      <c r="H9" s="489">
        <v>11.026999999999999</v>
      </c>
      <c r="I9" s="488">
        <f t="shared" si="3"/>
        <v>26.484928545694729</v>
      </c>
      <c r="J9" s="489">
        <v>10.909000000000001</v>
      </c>
      <c r="K9" s="488">
        <f t="shared" si="4"/>
        <v>27.214261480431894</v>
      </c>
      <c r="L9" s="489">
        <v>4.0190000000000001</v>
      </c>
      <c r="M9" s="488">
        <f t="shared" si="5"/>
        <v>13.684497259014611</v>
      </c>
      <c r="N9" s="489">
        <v>2.8769999999999998</v>
      </c>
      <c r="O9" s="488">
        <f t="shared" si="6"/>
        <v>13.408211772381975</v>
      </c>
      <c r="P9" s="489">
        <v>3.4049999999999998</v>
      </c>
      <c r="Q9" s="488">
        <f t="shared" si="7"/>
        <v>18.744838976052851</v>
      </c>
      <c r="R9" s="490">
        <v>3.6440000000000001</v>
      </c>
      <c r="S9" s="488">
        <f t="shared" si="8"/>
        <v>18.779633065347351</v>
      </c>
      <c r="T9" s="490">
        <v>4.6219999999999999</v>
      </c>
      <c r="U9" s="488">
        <f t="shared" si="9"/>
        <v>21.708703207928231</v>
      </c>
      <c r="V9" s="490">
        <v>6.133</v>
      </c>
      <c r="W9" s="488">
        <f t="shared" si="10"/>
        <v>25.595759776303151</v>
      </c>
      <c r="X9" s="490">
        <v>8.08</v>
      </c>
      <c r="Y9" s="488">
        <f t="shared" si="11"/>
        <v>23.54998542698922</v>
      </c>
      <c r="Z9" s="490" t="e">
        <f>SUMIF('[1]ST 7'!B$6:B$59,A9,'[1]ST 7'!AJ$6:AJ$60)</f>
        <v>#VALUE!</v>
      </c>
      <c r="AA9" s="488" t="e">
        <f t="shared" si="12"/>
        <v>#VALUE!</v>
      </c>
      <c r="AB9" s="490">
        <v>12.707000000000001</v>
      </c>
      <c r="AC9" s="488">
        <f t="shared" si="13"/>
        <v>27.188309048505467</v>
      </c>
      <c r="AD9" s="491">
        <v>12.1</v>
      </c>
      <c r="AE9" s="488">
        <f t="shared" si="14"/>
        <v>25.647547585739112</v>
      </c>
      <c r="AF9" s="492">
        <v>14.868</v>
      </c>
      <c r="AG9" s="493">
        <f t="shared" si="15"/>
        <v>23.006932409012133</v>
      </c>
      <c r="AH9" s="492">
        <v>16.163</v>
      </c>
      <c r="AI9" s="493">
        <f t="shared" si="16"/>
        <v>22.395111677658921</v>
      </c>
      <c r="AJ9" s="492">
        <v>15.099</v>
      </c>
      <c r="AK9" s="493">
        <f t="shared" si="17"/>
        <v>20.398540934882465</v>
      </c>
      <c r="AL9" s="491">
        <v>11.504000000000001</v>
      </c>
      <c r="AM9" s="493">
        <f t="shared" si="18"/>
        <v>18.246126028961601</v>
      </c>
      <c r="AN9" s="491">
        <v>9.4049999999999994</v>
      </c>
      <c r="AO9" s="493">
        <f t="shared" si="19"/>
        <v>16.941672370933457</v>
      </c>
      <c r="AP9" s="492">
        <v>9.718</v>
      </c>
      <c r="AQ9" s="493">
        <f t="shared" si="20"/>
        <v>16.363299600936202</v>
      </c>
      <c r="AR9" s="492">
        <v>11.46</v>
      </c>
      <c r="AS9" s="493">
        <f t="shared" si="21"/>
        <v>17.533391471978707</v>
      </c>
      <c r="AT9" s="492">
        <v>17.573999999999998</v>
      </c>
      <c r="AU9" s="493">
        <f t="shared" si="22"/>
        <v>22.856325352130991</v>
      </c>
      <c r="AV9" s="492">
        <v>13.468999999999999</v>
      </c>
      <c r="AW9" s="494" t="e">
        <f t="shared" si="23"/>
        <v>#VALUE!</v>
      </c>
      <c r="AX9" s="495">
        <v>13.744999999999999</v>
      </c>
      <c r="AY9" s="496">
        <f t="shared" si="24"/>
        <v>23.84628730048577</v>
      </c>
      <c r="AZ9" s="495">
        <v>13.302</v>
      </c>
      <c r="BA9" s="496">
        <f t="shared" si="25"/>
        <v>16.335101679929259</v>
      </c>
      <c r="BB9" s="495" t="e">
        <f>SUMIF('[2]ST 7'!$B$6:$B$80,$A9,'[2]ST 7'!$AO$6:$AO$80)</f>
        <v>#VALUE!</v>
      </c>
      <c r="BC9" s="497" t="e">
        <f t="shared" si="26"/>
        <v>#VALUE!</v>
      </c>
    </row>
    <row r="10" spans="1:55" s="313" customFormat="1" ht="13.9" customHeight="1">
      <c r="A10" s="350" t="s">
        <v>40</v>
      </c>
      <c r="B10" s="487">
        <v>1.4850000000000001</v>
      </c>
      <c r="C10" s="488">
        <f t="shared" si="0"/>
        <v>3.1119679792116348</v>
      </c>
      <c r="D10" s="489">
        <v>1.605</v>
      </c>
      <c r="E10" s="488">
        <f t="shared" si="1"/>
        <v>3.5005452562704473</v>
      </c>
      <c r="F10" s="489">
        <v>1.62</v>
      </c>
      <c r="G10" s="488">
        <f t="shared" si="2"/>
        <v>3.8381349507202436</v>
      </c>
      <c r="H10" s="489">
        <v>1.2689999999999999</v>
      </c>
      <c r="I10" s="488">
        <f t="shared" si="3"/>
        <v>3.0479164164765224</v>
      </c>
      <c r="J10" s="489">
        <v>2.2869999999999999</v>
      </c>
      <c r="K10" s="488">
        <f t="shared" si="4"/>
        <v>5.7052906779491916</v>
      </c>
      <c r="L10" s="489">
        <v>1.431</v>
      </c>
      <c r="M10" s="488">
        <f t="shared" si="5"/>
        <v>4.8724845925976377</v>
      </c>
      <c r="N10" s="489">
        <v>0.77400000000000002</v>
      </c>
      <c r="O10" s="488">
        <f t="shared" si="6"/>
        <v>3.6072144288577164</v>
      </c>
      <c r="P10" s="489">
        <v>0.55100000000000005</v>
      </c>
      <c r="Q10" s="488">
        <f t="shared" si="7"/>
        <v>3.0333058078722819</v>
      </c>
      <c r="R10" s="490">
        <v>1.2250000000000001</v>
      </c>
      <c r="S10" s="488">
        <f t="shared" si="8"/>
        <v>6.3131313131313131</v>
      </c>
      <c r="T10" s="490">
        <v>1.7729999999999999</v>
      </c>
      <c r="U10" s="488">
        <f t="shared" si="9"/>
        <v>8.3274623080174717</v>
      </c>
      <c r="V10" s="490">
        <v>1.6060000000000001</v>
      </c>
      <c r="W10" s="488">
        <f t="shared" si="10"/>
        <v>6.7025583239430739</v>
      </c>
      <c r="X10" s="490">
        <v>1.4450000000000001</v>
      </c>
      <c r="Y10" s="488">
        <f t="shared" si="11"/>
        <v>4.2116001165840871</v>
      </c>
      <c r="Z10" s="490" t="e">
        <f>SUMIF('[1]ST 7'!B$6:B$59,A10,'[1]ST 7'!AJ$6:AJ$60)</f>
        <v>#VALUE!</v>
      </c>
      <c r="AA10" s="488" t="e">
        <f t="shared" si="12"/>
        <v>#VALUE!</v>
      </c>
      <c r="AB10" s="490">
        <v>1.591</v>
      </c>
      <c r="AC10" s="488">
        <f t="shared" si="13"/>
        <v>3.4041551661424565</v>
      </c>
      <c r="AD10" s="491">
        <v>1.01</v>
      </c>
      <c r="AE10" s="488">
        <f t="shared" si="14"/>
        <v>2.1408283521980582</v>
      </c>
      <c r="AF10" s="492">
        <v>2.0099999999999998</v>
      </c>
      <c r="AG10" s="493">
        <f t="shared" si="15"/>
        <v>3.1102995791037382</v>
      </c>
      <c r="AH10" s="492">
        <v>4.0549999999999997</v>
      </c>
      <c r="AI10" s="493">
        <f t="shared" si="16"/>
        <v>5.6185224186665179</v>
      </c>
      <c r="AJ10" s="492">
        <v>6.843</v>
      </c>
      <c r="AK10" s="493">
        <f t="shared" si="17"/>
        <v>9.2447987030532293</v>
      </c>
      <c r="AL10" s="491">
        <v>9.5790000000000006</v>
      </c>
      <c r="AM10" s="493">
        <f t="shared" si="18"/>
        <v>15.19294516962997</v>
      </c>
      <c r="AN10" s="491">
        <v>6.1070000000000002</v>
      </c>
      <c r="AO10" s="493">
        <f t="shared" si="19"/>
        <v>11.000828619807617</v>
      </c>
      <c r="AP10" s="492">
        <v>4.8979999999999997</v>
      </c>
      <c r="AQ10" s="493">
        <f t="shared" si="20"/>
        <v>8.2473185269999512</v>
      </c>
      <c r="AR10" s="492">
        <v>6.59</v>
      </c>
      <c r="AS10" s="493">
        <f t="shared" si="21"/>
        <v>10.08246507856367</v>
      </c>
      <c r="AT10" s="492">
        <v>7.1950000000000003</v>
      </c>
      <c r="AU10" s="493">
        <f t="shared" si="22"/>
        <v>9.3576454369285589</v>
      </c>
      <c r="AV10" s="492">
        <v>3.4409999999999998</v>
      </c>
      <c r="AW10" s="494" t="e">
        <f t="shared" si="23"/>
        <v>#VALUE!</v>
      </c>
      <c r="AX10" s="495">
        <v>3.37</v>
      </c>
      <c r="AY10" s="496">
        <f t="shared" si="24"/>
        <v>5.8466342817487851</v>
      </c>
      <c r="AZ10" s="495">
        <v>3.9990000000000001</v>
      </c>
      <c r="BA10" s="496">
        <f t="shared" si="25"/>
        <v>4.9108458591217188</v>
      </c>
      <c r="BB10" s="495" t="e">
        <f>SUMIF('[2]ST 7'!$B$6:$B$80,$A10,'[2]ST 7'!$AO$6:$AO$80)</f>
        <v>#VALUE!</v>
      </c>
      <c r="BC10" s="497" t="e">
        <f t="shared" si="26"/>
        <v>#VALUE!</v>
      </c>
    </row>
    <row r="11" spans="1:55" s="313" customFormat="1" ht="13.9" customHeight="1">
      <c r="A11" s="350" t="s">
        <v>41</v>
      </c>
      <c r="B11" s="487">
        <v>3.1520000000000001</v>
      </c>
      <c r="C11" s="488">
        <f t="shared" si="0"/>
        <v>6.6053354009933143</v>
      </c>
      <c r="D11" s="489">
        <v>1.4390000000000001</v>
      </c>
      <c r="E11" s="488">
        <f t="shared" si="1"/>
        <v>3.1384950926935664</v>
      </c>
      <c r="F11" s="489">
        <v>1.425</v>
      </c>
      <c r="G11" s="488">
        <f t="shared" si="2"/>
        <v>3.3761372251705843</v>
      </c>
      <c r="H11" s="489">
        <v>2.2869999999999999</v>
      </c>
      <c r="I11" s="488">
        <f t="shared" si="3"/>
        <v>5.4929746607421652</v>
      </c>
      <c r="J11" s="489">
        <v>3.306</v>
      </c>
      <c r="K11" s="488">
        <f t="shared" si="4"/>
        <v>8.2473506695671315</v>
      </c>
      <c r="L11" s="489">
        <v>2.3180000000000001</v>
      </c>
      <c r="M11" s="488">
        <f t="shared" si="5"/>
        <v>7.8926759508325119</v>
      </c>
      <c r="N11" s="489">
        <v>2.1850000000000001</v>
      </c>
      <c r="O11" s="488">
        <f t="shared" si="6"/>
        <v>10.183157011697816</v>
      </c>
      <c r="P11" s="489">
        <v>1.1120000000000001</v>
      </c>
      <c r="Q11" s="488">
        <f t="shared" si="7"/>
        <v>6.1216625378475102</v>
      </c>
      <c r="R11" s="490">
        <v>0.77</v>
      </c>
      <c r="S11" s="488">
        <f t="shared" si="8"/>
        <v>3.9682539682539675</v>
      </c>
      <c r="T11" s="490">
        <v>1.0960000000000001</v>
      </c>
      <c r="U11" s="488">
        <f t="shared" si="9"/>
        <v>5.1477149969470668</v>
      </c>
      <c r="V11" s="490">
        <v>2.1869999999999998</v>
      </c>
      <c r="W11" s="488">
        <f t="shared" si="10"/>
        <v>9.127331914360834</v>
      </c>
      <c r="X11" s="490">
        <v>3.6419999999999999</v>
      </c>
      <c r="Y11" s="488">
        <f t="shared" si="11"/>
        <v>10.614981055085982</v>
      </c>
      <c r="Z11" s="490" t="e">
        <f>SUMIF('[1]ST 7'!B$6:B$59,A11,'[1]ST 7'!AJ$6:AJ$60)</f>
        <v>#VALUE!</v>
      </c>
      <c r="AA11" s="488" t="e">
        <f t="shared" si="12"/>
        <v>#VALUE!</v>
      </c>
      <c r="AB11" s="490">
        <v>3.2949999999999999</v>
      </c>
      <c r="AC11" s="488">
        <f t="shared" si="13"/>
        <v>7.0500887947450623</v>
      </c>
      <c r="AD11" s="491">
        <v>2.6300000000000003</v>
      </c>
      <c r="AE11" s="488">
        <f t="shared" si="14"/>
        <v>5.57463224384247</v>
      </c>
      <c r="AF11" s="492">
        <v>2.8559999999999999</v>
      </c>
      <c r="AG11" s="493">
        <f t="shared" si="15"/>
        <v>4.4194107452339688</v>
      </c>
      <c r="AH11" s="492">
        <v>3.95</v>
      </c>
      <c r="AI11" s="493">
        <f t="shared" si="16"/>
        <v>5.4730366347059789</v>
      </c>
      <c r="AJ11" s="492">
        <v>5.093</v>
      </c>
      <c r="AK11" s="493">
        <f t="shared" si="17"/>
        <v>6.8805728181572556</v>
      </c>
      <c r="AL11" s="491">
        <v>5.8159999999999998</v>
      </c>
      <c r="AM11" s="493">
        <f t="shared" si="18"/>
        <v>9.2245713651287087</v>
      </c>
      <c r="AN11" s="491">
        <v>5.6</v>
      </c>
      <c r="AO11" s="493">
        <f t="shared" si="19"/>
        <v>10.08754548402205</v>
      </c>
      <c r="AP11" s="492">
        <v>5.5009999999999994</v>
      </c>
      <c r="AQ11" s="493">
        <f t="shared" si="20"/>
        <v>9.2626580679923887</v>
      </c>
      <c r="AR11" s="492">
        <v>8.0069999999999997</v>
      </c>
      <c r="AS11" s="493">
        <f t="shared" si="21"/>
        <v>12.250424565107634</v>
      </c>
      <c r="AT11" s="492">
        <v>14.141999999999999</v>
      </c>
      <c r="AU11" s="493">
        <f t="shared" si="22"/>
        <v>18.392747987358398</v>
      </c>
      <c r="AV11" s="492">
        <v>11.614000000000001</v>
      </c>
      <c r="AW11" s="494" t="e">
        <f t="shared" si="23"/>
        <v>#VALUE!</v>
      </c>
      <c r="AX11" s="495">
        <v>9.24</v>
      </c>
      <c r="AY11" s="496">
        <f t="shared" si="24"/>
        <v>16.030534351145036</v>
      </c>
      <c r="AZ11" s="495">
        <v>14.296000000000001</v>
      </c>
      <c r="BA11" s="496">
        <f t="shared" si="25"/>
        <v>17.555752038510651</v>
      </c>
      <c r="BB11" s="495" t="e">
        <f>SUMIF('[2]ST 7'!$B$6:$B$80,$A11,'[2]ST 7'!$AO$6:$AO$80)</f>
        <v>#VALUE!</v>
      </c>
      <c r="BC11" s="497" t="e">
        <f t="shared" si="26"/>
        <v>#VALUE!</v>
      </c>
    </row>
    <row r="12" spans="1:55" s="313" customFormat="1" ht="13.9" customHeight="1">
      <c r="A12" s="350" t="s">
        <v>42</v>
      </c>
      <c r="B12" s="487">
        <v>8.7989999999999995</v>
      </c>
      <c r="C12" s="488">
        <f t="shared" si="0"/>
        <v>18.439196127328735</v>
      </c>
      <c r="D12" s="489">
        <v>9.2189999999999994</v>
      </c>
      <c r="E12" s="488">
        <f t="shared" si="1"/>
        <v>20.106870229007637</v>
      </c>
      <c r="F12" s="489">
        <v>7.8860000000000001</v>
      </c>
      <c r="G12" s="488">
        <f t="shared" si="2"/>
        <v>18.683661865049285</v>
      </c>
      <c r="H12" s="489">
        <v>6.008</v>
      </c>
      <c r="I12" s="488">
        <f t="shared" si="3"/>
        <v>14.43016692686442</v>
      </c>
      <c r="J12" s="489">
        <v>6.2649999999999997</v>
      </c>
      <c r="K12" s="488">
        <f t="shared" si="4"/>
        <v>15.629053824814905</v>
      </c>
      <c r="L12" s="489">
        <v>7.0940000000000003</v>
      </c>
      <c r="M12" s="488">
        <f t="shared" si="5"/>
        <v>24.154720964282067</v>
      </c>
      <c r="N12" s="489">
        <v>6.6559999999999997</v>
      </c>
      <c r="O12" s="488">
        <f t="shared" si="6"/>
        <v>31.02017989467307</v>
      </c>
      <c r="P12" s="489">
        <v>5.6779999999999999</v>
      </c>
      <c r="Q12" s="488">
        <f t="shared" si="7"/>
        <v>31.257913570052299</v>
      </c>
      <c r="R12" s="490">
        <v>3.9129999999999998</v>
      </c>
      <c r="S12" s="488">
        <f t="shared" si="8"/>
        <v>20.165945165945161</v>
      </c>
      <c r="T12" s="490">
        <v>3.992</v>
      </c>
      <c r="U12" s="488">
        <f t="shared" si="9"/>
        <v>18.749706448734205</v>
      </c>
      <c r="V12" s="490">
        <v>3.7389999999999999</v>
      </c>
      <c r="W12" s="488">
        <f t="shared" si="10"/>
        <v>15.604524018196232</v>
      </c>
      <c r="X12" s="490">
        <v>5.5620000000000003</v>
      </c>
      <c r="Y12" s="488">
        <f t="shared" si="11"/>
        <v>16.211017196152728</v>
      </c>
      <c r="Z12" s="490" t="e">
        <f>SUMIF('[1]ST 7'!B$6:B$59,A12,'[1]ST 7'!AJ$6:AJ$60)</f>
        <v>#VALUE!</v>
      </c>
      <c r="AA12" s="488" t="e">
        <f t="shared" si="12"/>
        <v>#VALUE!</v>
      </c>
      <c r="AB12" s="492">
        <v>6.68</v>
      </c>
      <c r="AC12" s="488">
        <f t="shared" si="13"/>
        <v>14.292744506493785</v>
      </c>
      <c r="AD12" s="491">
        <v>4.8120000000000003</v>
      </c>
      <c r="AE12" s="488">
        <f t="shared" si="14"/>
        <v>10.199669337403027</v>
      </c>
      <c r="AF12" s="492">
        <v>6.93</v>
      </c>
      <c r="AG12" s="493">
        <f t="shared" si="15"/>
        <v>10.723570190641249</v>
      </c>
      <c r="AH12" s="492">
        <v>10.615</v>
      </c>
      <c r="AI12" s="493">
        <f t="shared" si="16"/>
        <v>14.707919968963031</v>
      </c>
      <c r="AJ12" s="492">
        <v>9.298</v>
      </c>
      <c r="AK12" s="493">
        <f t="shared" si="17"/>
        <v>12.561469873007296</v>
      </c>
      <c r="AL12" s="491">
        <v>5.93</v>
      </c>
      <c r="AM12" s="493">
        <f t="shared" si="18"/>
        <v>9.405383114720296</v>
      </c>
      <c r="AN12" s="491">
        <v>7.7639999999999993</v>
      </c>
      <c r="AO12" s="493">
        <f t="shared" si="19"/>
        <v>13.985661274633426</v>
      </c>
      <c r="AP12" s="492">
        <v>12.815999999999999</v>
      </c>
      <c r="AQ12" s="493">
        <f t="shared" si="20"/>
        <v>21.579753826466185</v>
      </c>
      <c r="AR12" s="492">
        <v>11.875999999999999</v>
      </c>
      <c r="AS12" s="493">
        <f t="shared" si="21"/>
        <v>18.169856642340235</v>
      </c>
      <c r="AT12" s="492">
        <v>13.010000000000002</v>
      </c>
      <c r="AU12" s="493">
        <f t="shared" si="22"/>
        <v>16.920495779630379</v>
      </c>
      <c r="AV12" s="492">
        <v>7.4139999999999997</v>
      </c>
      <c r="AW12" s="494" t="e">
        <f t="shared" si="23"/>
        <v>#VALUE!</v>
      </c>
      <c r="AX12" s="495">
        <v>8.8189999999999991</v>
      </c>
      <c r="AY12" s="496">
        <f t="shared" si="24"/>
        <v>15.3001387925052</v>
      </c>
      <c r="AZ12" s="495">
        <v>17.718</v>
      </c>
      <c r="BA12" s="496">
        <f t="shared" si="25"/>
        <v>21.758031240789848</v>
      </c>
      <c r="BB12" s="495" t="e">
        <f>SUMIF('[2]ST 7'!$B$6:$B$80,$A12,'[2]ST 7'!$AO$6:$AO$80)</f>
        <v>#VALUE!</v>
      </c>
      <c r="BC12" s="497" t="e">
        <f t="shared" si="26"/>
        <v>#VALUE!</v>
      </c>
    </row>
    <row r="13" spans="1:55" s="313" customFormat="1" ht="13.9" customHeight="1">
      <c r="A13" s="498" t="s">
        <v>294</v>
      </c>
      <c r="B13" s="487"/>
      <c r="C13" s="488"/>
      <c r="D13" s="489"/>
      <c r="E13" s="488"/>
      <c r="F13" s="489"/>
      <c r="G13" s="488"/>
      <c r="H13" s="489"/>
      <c r="I13" s="488"/>
      <c r="J13" s="489"/>
      <c r="K13" s="488"/>
      <c r="L13" s="489"/>
      <c r="M13" s="488"/>
      <c r="N13" s="489"/>
      <c r="O13" s="488"/>
      <c r="P13" s="489"/>
      <c r="Q13" s="488"/>
      <c r="R13" s="490"/>
      <c r="S13" s="488"/>
      <c r="T13" s="490"/>
      <c r="U13" s="488"/>
      <c r="V13" s="490"/>
      <c r="W13" s="488"/>
      <c r="X13" s="490"/>
      <c r="Y13" s="488"/>
      <c r="Z13" s="490"/>
      <c r="AA13" s="488"/>
      <c r="AB13" s="490"/>
      <c r="AC13" s="488"/>
      <c r="AD13" s="491"/>
      <c r="AE13" s="488"/>
      <c r="AF13" s="492"/>
      <c r="AG13" s="493"/>
      <c r="AH13" s="492"/>
      <c r="AI13" s="493"/>
      <c r="AJ13" s="492"/>
      <c r="AK13" s="493"/>
      <c r="AL13" s="491"/>
      <c r="AM13" s="493"/>
      <c r="AN13" s="491"/>
      <c r="AO13" s="493"/>
      <c r="AP13" s="492"/>
      <c r="AQ13" s="493"/>
      <c r="AR13" s="492">
        <v>0.126</v>
      </c>
      <c r="AS13" s="493">
        <f t="shared" si="21"/>
        <v>0.19277550833065593</v>
      </c>
      <c r="AT13" s="492">
        <v>1.1419999999999999</v>
      </c>
      <c r="AU13" s="493">
        <f t="shared" si="22"/>
        <v>1.4852579692803909</v>
      </c>
      <c r="AV13" s="492">
        <v>0.317</v>
      </c>
      <c r="AW13" s="494" t="e">
        <f t="shared" si="23"/>
        <v>#VALUE!</v>
      </c>
      <c r="AX13" s="495">
        <v>0.38700000000000001</v>
      </c>
      <c r="AY13" s="496">
        <f t="shared" si="24"/>
        <v>0.6714087439278279</v>
      </c>
      <c r="AZ13" s="495">
        <v>0.157</v>
      </c>
      <c r="BA13" s="496">
        <f t="shared" si="25"/>
        <v>0.1927988996954513</v>
      </c>
      <c r="BB13" s="495" t="e">
        <f>SUMIF('[2]ST 7'!$B$6:$B$80,$A13,'[2]ST 7'!$AO$6:$AO$80)</f>
        <v>#VALUE!</v>
      </c>
      <c r="BC13" s="497" t="e">
        <f t="shared" si="26"/>
        <v>#VALUE!</v>
      </c>
    </row>
    <row r="14" spans="1:55" s="313" customFormat="1" ht="13.9" customHeight="1">
      <c r="A14" s="498" t="s">
        <v>302</v>
      </c>
      <c r="B14" s="487"/>
      <c r="C14" s="488"/>
      <c r="D14" s="489"/>
      <c r="E14" s="488"/>
      <c r="F14" s="489"/>
      <c r="G14" s="488"/>
      <c r="H14" s="489"/>
      <c r="I14" s="488"/>
      <c r="J14" s="489"/>
      <c r="K14" s="488"/>
      <c r="L14" s="489"/>
      <c r="M14" s="488"/>
      <c r="N14" s="489"/>
      <c r="O14" s="488"/>
      <c r="P14" s="489"/>
      <c r="Q14" s="488"/>
      <c r="R14" s="490"/>
      <c r="S14" s="488"/>
      <c r="T14" s="490"/>
      <c r="U14" s="488"/>
      <c r="V14" s="490"/>
      <c r="W14" s="488"/>
      <c r="X14" s="490"/>
      <c r="Y14" s="488"/>
      <c r="Z14" s="490"/>
      <c r="AA14" s="488"/>
      <c r="AB14" s="490"/>
      <c r="AC14" s="488"/>
      <c r="AD14" s="491"/>
      <c r="AE14" s="488"/>
      <c r="AF14" s="492"/>
      <c r="AG14" s="493"/>
      <c r="AH14" s="492"/>
      <c r="AI14" s="493"/>
      <c r="AJ14" s="492"/>
      <c r="AK14" s="493"/>
      <c r="AL14" s="491"/>
      <c r="AM14" s="493"/>
      <c r="AN14" s="491"/>
      <c r="AO14" s="493"/>
      <c r="AP14" s="492"/>
      <c r="AQ14" s="493"/>
      <c r="AR14" s="492"/>
      <c r="AS14" s="493"/>
      <c r="AT14" s="492">
        <v>0.19</v>
      </c>
      <c r="AU14" s="493">
        <f t="shared" si="22"/>
        <v>0.24710946949498624</v>
      </c>
      <c r="AV14" s="492">
        <v>0.216</v>
      </c>
      <c r="AW14" s="494" t="e">
        <f t="shared" si="23"/>
        <v>#VALUE!</v>
      </c>
      <c r="AX14" s="495">
        <v>5.8999999999999997E-2</v>
      </c>
      <c r="AY14" s="496">
        <f t="shared" si="24"/>
        <v>0.1023594725884802</v>
      </c>
      <c r="AZ14" s="495">
        <v>0</v>
      </c>
      <c r="BA14" s="496">
        <f t="shared" si="25"/>
        <v>0</v>
      </c>
      <c r="BB14" s="495" t="e">
        <f>SUMIF('[2]ST 7'!$B$6:$B$80,$A14,'[2]ST 7'!$AO$6:$AO$80)</f>
        <v>#VALUE!</v>
      </c>
      <c r="BC14" s="497" t="e">
        <f t="shared" si="26"/>
        <v>#VALUE!</v>
      </c>
    </row>
    <row r="15" spans="1:55" s="313" customFormat="1" ht="13.9" customHeight="1">
      <c r="A15" s="350" t="s">
        <v>43</v>
      </c>
      <c r="B15" s="487">
        <v>5.149</v>
      </c>
      <c r="C15" s="488">
        <f>100*B15/B$66</f>
        <v>10.790251262599803</v>
      </c>
      <c r="D15" s="489">
        <v>3.4</v>
      </c>
      <c r="E15" s="488">
        <f>100*D15/D$66</f>
        <v>7.4154852780806992</v>
      </c>
      <c r="F15" s="489">
        <v>3.4820000000000002</v>
      </c>
      <c r="G15" s="488">
        <f>100*F15/F$66</f>
        <v>8.2496209249431409</v>
      </c>
      <c r="H15" s="489">
        <v>2.2919999999999998</v>
      </c>
      <c r="I15" s="488">
        <f>100*H15/H$66</f>
        <v>5.5049837876786363</v>
      </c>
      <c r="J15" s="489">
        <v>4.0039999999999996</v>
      </c>
      <c r="K15" s="488">
        <f>100*J15/J$66</f>
        <v>9.9886243439040499</v>
      </c>
      <c r="L15" s="489">
        <v>5.4610000000000003</v>
      </c>
      <c r="M15" s="488">
        <f>100*L15/L$66</f>
        <v>18.594436310395317</v>
      </c>
      <c r="N15" s="489">
        <v>2.9279999999999999</v>
      </c>
      <c r="O15" s="488">
        <f>100*N15/N$66</f>
        <v>13.645896444050894</v>
      </c>
      <c r="P15" s="489">
        <v>1.6719999999999999</v>
      </c>
      <c r="Q15" s="488">
        <f>100*P15/P$66</f>
        <v>9.2045141756124416</v>
      </c>
      <c r="R15" s="490">
        <v>2.48</v>
      </c>
      <c r="S15" s="488">
        <f>100*R15/R$66</f>
        <v>12.780869923727064</v>
      </c>
      <c r="T15" s="490">
        <v>3.145</v>
      </c>
      <c r="U15" s="488">
        <f>100*T15/T$66</f>
        <v>14.771499694706684</v>
      </c>
      <c r="V15" s="490">
        <v>3.012</v>
      </c>
      <c r="W15" s="488">
        <f>100*V15/V$66</f>
        <v>12.570426943783644</v>
      </c>
      <c r="X15" s="490">
        <v>4.399</v>
      </c>
      <c r="Y15" s="488">
        <f>100*X15/X$66</f>
        <v>12.821334887787819</v>
      </c>
      <c r="Z15" s="490" t="e">
        <f>SUMIF('[1]ST 7'!B$6:B$59,A15,'[1]ST 7'!AJ$6:AJ$60)</f>
        <v>#VALUE!</v>
      </c>
      <c r="AA15" s="488" t="e">
        <f>100*Z15/Z$66</f>
        <v>#VALUE!</v>
      </c>
      <c r="AB15" s="492">
        <v>12.35</v>
      </c>
      <c r="AC15" s="488">
        <f>100*AB15/AB$66</f>
        <v>26.424460277724286</v>
      </c>
      <c r="AD15" s="491">
        <v>17.399000000000001</v>
      </c>
      <c r="AE15" s="488">
        <f>100*AD15/AD$66</f>
        <v>36.879477722667346</v>
      </c>
      <c r="AF15" s="492">
        <v>23.343</v>
      </c>
      <c r="AG15" s="493">
        <f>100*AF15/AF$66</f>
        <v>36.121255261203274</v>
      </c>
      <c r="AH15" s="492">
        <v>21.530999999999999</v>
      </c>
      <c r="AI15" s="493">
        <f>100*AH15/AH$66</f>
        <v>29.832899185279604</v>
      </c>
      <c r="AJ15" s="492">
        <v>22.122</v>
      </c>
      <c r="AK15" s="493">
        <f>100*AJ15/AJ$66</f>
        <v>29.886517157524992</v>
      </c>
      <c r="AL15" s="491">
        <v>18.053000000000001</v>
      </c>
      <c r="AM15" s="493">
        <f t="shared" ref="AM15:AM23" si="27">100*AL15/AL$66</f>
        <v>28.633285222604641</v>
      </c>
      <c r="AN15" s="491">
        <v>14.148999999999999</v>
      </c>
      <c r="AO15" s="493">
        <f>100*AN15/AN$66</f>
        <v>25.487264473826421</v>
      </c>
      <c r="AP15" s="492">
        <v>12.53</v>
      </c>
      <c r="AQ15" s="493">
        <f>100*AP15/AP$66</f>
        <v>21.098183165232623</v>
      </c>
      <c r="AR15" s="492">
        <v>10.194000000000001</v>
      </c>
      <c r="AS15" s="493">
        <f>100*AR15/AR$66</f>
        <v>15.596456602561164</v>
      </c>
      <c r="AT15" s="492">
        <v>6.3869999999999996</v>
      </c>
      <c r="AU15" s="493">
        <f t="shared" si="22"/>
        <v>8.3067799034972474</v>
      </c>
      <c r="AV15" s="492">
        <v>11.178000000000001</v>
      </c>
      <c r="AW15" s="494" t="e">
        <f t="shared" si="23"/>
        <v>#VALUE!</v>
      </c>
      <c r="AX15" s="495">
        <v>12.906000000000001</v>
      </c>
      <c r="AY15" s="496">
        <f t="shared" si="24"/>
        <v>22.390700902151284</v>
      </c>
      <c r="AZ15" s="495">
        <v>19.879000000000001</v>
      </c>
      <c r="BA15" s="496">
        <f t="shared" si="25"/>
        <v>24.411779153158452</v>
      </c>
      <c r="BB15" s="495" t="e">
        <f>SUMIF('[2]ST 7'!$B$6:$B$80,$A15,'[2]ST 7'!$AO$6:$AO$80)</f>
        <v>#VALUE!</v>
      </c>
      <c r="BC15" s="497" t="e">
        <f t="shared" si="26"/>
        <v>#VALUE!</v>
      </c>
    </row>
    <row r="16" spans="1:55" s="313" customFormat="1" ht="13.9" customHeight="1">
      <c r="A16" s="360" t="s">
        <v>44</v>
      </c>
      <c r="B16" s="499">
        <v>1.1659999999999999</v>
      </c>
      <c r="C16" s="500">
        <f>100*B16/B$66</f>
        <v>2.4434711540476539</v>
      </c>
      <c r="D16" s="501">
        <v>0.86799999999999999</v>
      </c>
      <c r="E16" s="500">
        <f>100*D16/D$66</f>
        <v>1.8931297709923667</v>
      </c>
      <c r="F16" s="501">
        <v>0.82499999999999996</v>
      </c>
      <c r="G16" s="500">
        <f>100*F16/F$66</f>
        <v>1.9546057619408648</v>
      </c>
      <c r="H16" s="501">
        <v>0.92700000000000005</v>
      </c>
      <c r="I16" s="500">
        <f>100*H16/H$66</f>
        <v>2.2264921340218571</v>
      </c>
      <c r="J16" s="501">
        <v>0.84299999999999997</v>
      </c>
      <c r="K16" s="500">
        <f>100*J16/J$66</f>
        <v>2.1029995808968818</v>
      </c>
      <c r="L16" s="501">
        <v>0.57299999999999995</v>
      </c>
      <c r="M16" s="500">
        <f>100*L16/L$66</f>
        <v>1.9510368075181315</v>
      </c>
      <c r="N16" s="501">
        <v>0.46400000000000002</v>
      </c>
      <c r="O16" s="500">
        <f>100*N16/N$66</f>
        <v>2.1624644638113444</v>
      </c>
      <c r="P16" s="501">
        <v>0.48</v>
      </c>
      <c r="Q16" s="500">
        <f>100*P16/P$66</f>
        <v>2.642444260941371</v>
      </c>
      <c r="R16" s="502">
        <v>0.47</v>
      </c>
      <c r="S16" s="500">
        <f>100*R16/R$66</f>
        <v>2.4221809936095644</v>
      </c>
      <c r="T16" s="502">
        <v>0.33100000000000002</v>
      </c>
      <c r="U16" s="500">
        <f>100*T16/T$66</f>
        <v>1.5546475036400358</v>
      </c>
      <c r="V16" s="502">
        <v>0.38800000000000001</v>
      </c>
      <c r="W16" s="500">
        <f>100*V16/V$66</f>
        <v>1.6192980259588496</v>
      </c>
      <c r="X16" s="502">
        <v>0.316</v>
      </c>
      <c r="Y16" s="500">
        <f>100*X16/X$66</f>
        <v>0.92101428155056853</v>
      </c>
      <c r="Z16" s="502" t="e">
        <f>SUMIF('[1]ST 7'!B$6:B$59,A16,'[1]ST 7'!AJ$6:AJ$60)</f>
        <v>#VALUE!</v>
      </c>
      <c r="AA16" s="500" t="e">
        <f>100*Z16/Z$66</f>
        <v>#VALUE!</v>
      </c>
      <c r="AB16" s="502">
        <v>7.9000000000000001E-2</v>
      </c>
      <c r="AC16" s="500">
        <f>100*AB16/AB$66</f>
        <v>0.16903096048098937</v>
      </c>
      <c r="AD16" s="503">
        <v>0.252</v>
      </c>
      <c r="AE16" s="500">
        <f>100*AD16/AD$66</f>
        <v>0.53414727203357493</v>
      </c>
      <c r="AF16" s="504">
        <v>0.29399999999999998</v>
      </c>
      <c r="AG16" s="505">
        <f>100*AF16/AF$66</f>
        <v>0.45493934142114384</v>
      </c>
      <c r="AH16" s="504">
        <v>0.29299999999999998</v>
      </c>
      <c r="AI16" s="505">
        <f>100*AH16/AH$66</f>
        <v>0.40597461619464603</v>
      </c>
      <c r="AJ16" s="504">
        <v>9.5000000000000001E-2</v>
      </c>
      <c r="AK16" s="505">
        <f>100*AJ16/AJ$66</f>
        <v>0.12834369089435288</v>
      </c>
      <c r="AL16" s="503">
        <v>8.2000000000000003E-2</v>
      </c>
      <c r="AM16" s="505">
        <f t="shared" si="27"/>
        <v>0.13005757426763312</v>
      </c>
      <c r="AN16" s="503">
        <v>0.16900000000000001</v>
      </c>
      <c r="AO16" s="505">
        <f>100*AN16/AN$66</f>
        <v>0.30442771192852258</v>
      </c>
      <c r="AP16" s="504">
        <v>0.215</v>
      </c>
      <c r="AQ16" s="505">
        <f>100*AP16/AP$66</f>
        <v>0.36201990267557971</v>
      </c>
      <c r="AR16" s="504">
        <v>0.35899999999999999</v>
      </c>
      <c r="AS16" s="505">
        <f>100*AR16/AR$66</f>
        <v>0.54925720230718633</v>
      </c>
      <c r="AT16" s="504">
        <v>0.183</v>
      </c>
      <c r="AU16" s="505">
        <f t="shared" si="22"/>
        <v>0.23800543640832886</v>
      </c>
      <c r="AV16" s="504">
        <v>6.9000000000000006E-2</v>
      </c>
      <c r="AW16" s="506" t="e">
        <f t="shared" si="23"/>
        <v>#VALUE!</v>
      </c>
      <c r="AX16" s="507">
        <v>0.1</v>
      </c>
      <c r="AY16" s="508">
        <f t="shared" si="24"/>
        <v>0.17349063150589866</v>
      </c>
      <c r="AZ16" s="507">
        <v>5.3999999999999999E-2</v>
      </c>
      <c r="BA16" s="508">
        <f t="shared" si="25"/>
        <v>6.6312997347480071E-2</v>
      </c>
      <c r="BB16" s="507" t="e">
        <f>SUMIF('[2]ST 7'!$B$6:$B$80,$A16,'[2]ST 7'!$AO$6:$AO$80)</f>
        <v>#VALUE!</v>
      </c>
      <c r="BC16" s="509" t="e">
        <f t="shared" si="26"/>
        <v>#VALUE!</v>
      </c>
    </row>
    <row r="17" spans="1:55" s="335" customFormat="1" ht="13.9" customHeight="1">
      <c r="A17" s="368" t="s">
        <v>50</v>
      </c>
      <c r="B17" s="510">
        <f t="shared" ref="B17:AA17" si="28">SUM(B7:B16)</f>
        <v>45.072999999999993</v>
      </c>
      <c r="C17" s="511">
        <f t="shared" si="28"/>
        <v>94.455038873404717</v>
      </c>
      <c r="D17" s="510">
        <f t="shared" si="28"/>
        <v>42.872</v>
      </c>
      <c r="E17" s="511">
        <f t="shared" si="28"/>
        <v>93.504907306434035</v>
      </c>
      <c r="F17" s="510">
        <f t="shared" si="28"/>
        <v>39.898000000000003</v>
      </c>
      <c r="G17" s="511">
        <f t="shared" si="28"/>
        <v>94.527103866565611</v>
      </c>
      <c r="H17" s="510">
        <f t="shared" si="28"/>
        <v>39.841999999999999</v>
      </c>
      <c r="I17" s="511">
        <f t="shared" si="28"/>
        <v>95.693527080581248</v>
      </c>
      <c r="J17" s="510">
        <f t="shared" si="28"/>
        <v>38.277999999999992</v>
      </c>
      <c r="K17" s="511">
        <f t="shared" si="28"/>
        <v>95.490650008980836</v>
      </c>
      <c r="L17" s="510">
        <f t="shared" si="28"/>
        <v>27.914999999999999</v>
      </c>
      <c r="M17" s="511">
        <f t="shared" si="28"/>
        <v>95.049201539037767</v>
      </c>
      <c r="N17" s="510">
        <f t="shared" si="28"/>
        <v>20.32</v>
      </c>
      <c r="O17" s="511">
        <f t="shared" si="28"/>
        <v>94.701029966910568</v>
      </c>
      <c r="P17" s="510">
        <f t="shared" si="28"/>
        <v>17.413</v>
      </c>
      <c r="Q17" s="511">
        <f t="shared" si="28"/>
        <v>95.860170657858532</v>
      </c>
      <c r="R17" s="512">
        <f t="shared" si="28"/>
        <v>18.883999999999997</v>
      </c>
      <c r="S17" s="511">
        <f t="shared" si="28"/>
        <v>97.320140177283022</v>
      </c>
      <c r="T17" s="512">
        <f t="shared" si="28"/>
        <v>20.785</v>
      </c>
      <c r="U17" s="511">
        <f t="shared" si="28"/>
        <v>97.623408952139414</v>
      </c>
      <c r="V17" s="512">
        <f t="shared" si="28"/>
        <v>22.823</v>
      </c>
      <c r="W17" s="511">
        <f t="shared" si="28"/>
        <v>95.250615583656753</v>
      </c>
      <c r="X17" s="512">
        <f t="shared" si="28"/>
        <v>32.582000000000001</v>
      </c>
      <c r="Y17" s="511">
        <f t="shared" si="28"/>
        <v>94.963567473039944</v>
      </c>
      <c r="Z17" s="512" t="e">
        <f t="shared" si="28"/>
        <v>#VALUE!</v>
      </c>
      <c r="AA17" s="511" t="e">
        <f t="shared" si="28"/>
        <v>#VALUE!</v>
      </c>
      <c r="AB17" s="512">
        <f t="shared" ref="AB17:AH17" si="29">SUM(AB7:AB16)</f>
        <v>46.313000000000002</v>
      </c>
      <c r="AC17" s="511">
        <f t="shared" si="29"/>
        <v>99.092795857671661</v>
      </c>
      <c r="AD17" s="513">
        <f t="shared" si="29"/>
        <v>46.57</v>
      </c>
      <c r="AE17" s="511">
        <f t="shared" si="29"/>
        <v>98.71126372461741</v>
      </c>
      <c r="AF17" s="514">
        <f t="shared" si="29"/>
        <v>61.866</v>
      </c>
      <c r="AG17" s="515">
        <f t="shared" si="29"/>
        <v>95.732235701906419</v>
      </c>
      <c r="AH17" s="514">
        <f t="shared" si="29"/>
        <v>68.900000000000006</v>
      </c>
      <c r="AI17" s="515">
        <f>100*AH17/AH$66</f>
        <v>95.466385856010632</v>
      </c>
      <c r="AJ17" s="516">
        <f>SUM(AJ7:AJ16)</f>
        <v>69.551000000000002</v>
      </c>
      <c r="AK17" s="517">
        <f>100*AJ17/AJ$66</f>
        <v>93.962442583085661</v>
      </c>
      <c r="AL17" s="514">
        <f>SUM(AL7:AL16)</f>
        <v>58.167999999999999</v>
      </c>
      <c r="AM17" s="517">
        <f t="shared" si="27"/>
        <v>92.25840219511808</v>
      </c>
      <c r="AN17" s="518">
        <v>48.682999999999993</v>
      </c>
      <c r="AO17" s="517">
        <v>87.69499585690096</v>
      </c>
      <c r="AP17" s="514">
        <f t="shared" ref="AP17:BC17" si="30">SUM(AP7:AP16)</f>
        <v>53.491</v>
      </c>
      <c r="AQ17" s="517">
        <f t="shared" si="30"/>
        <v>90.068867972183426</v>
      </c>
      <c r="AR17" s="516">
        <f t="shared" si="30"/>
        <v>57.683</v>
      </c>
      <c r="AS17" s="517">
        <f t="shared" si="30"/>
        <v>88.252933706644654</v>
      </c>
      <c r="AT17" s="516">
        <f>SUM(AT7:AT16)</f>
        <v>68.575000000000003</v>
      </c>
      <c r="AU17" s="517">
        <f>SUM(AU7:AU16)</f>
        <v>89.187009845361487</v>
      </c>
      <c r="AV17" s="516">
        <f t="shared" si="30"/>
        <v>55.63000000000001</v>
      </c>
      <c r="AW17" s="515" t="e">
        <f t="shared" si="30"/>
        <v>#VALUE!</v>
      </c>
      <c r="AX17" s="516">
        <f t="shared" si="30"/>
        <v>54.290999999999997</v>
      </c>
      <c r="AY17" s="517">
        <f t="shared" si="30"/>
        <v>94.189798750867425</v>
      </c>
      <c r="AZ17" s="516">
        <f t="shared" si="30"/>
        <v>75.055000000000007</v>
      </c>
      <c r="BA17" s="517">
        <f t="shared" si="30"/>
        <v>92.168926220650306</v>
      </c>
      <c r="BB17" s="516" t="e">
        <f t="shared" si="30"/>
        <v>#VALUE!</v>
      </c>
      <c r="BC17" s="519" t="e">
        <f t="shared" si="30"/>
        <v>#VALUE!</v>
      </c>
    </row>
    <row r="18" spans="1:55" s="313" customFormat="1" ht="13.9" customHeight="1">
      <c r="A18" s="336" t="s">
        <v>45</v>
      </c>
      <c r="B18" s="476">
        <v>2.093</v>
      </c>
      <c r="C18" s="477">
        <f>100*B18/B$66</f>
        <v>4.3860935895555233</v>
      </c>
      <c r="D18" s="478">
        <v>2.516</v>
      </c>
      <c r="E18" s="477">
        <f>100*D18/D$66</f>
        <v>5.4874591057797169</v>
      </c>
      <c r="F18" s="478">
        <v>1.89</v>
      </c>
      <c r="G18" s="477">
        <f>100*F18/F$66</f>
        <v>4.4778241091736177</v>
      </c>
      <c r="H18" s="478">
        <v>1.3819999999999999</v>
      </c>
      <c r="I18" s="477">
        <f>100*H18/H$66</f>
        <v>3.3193226852407833</v>
      </c>
      <c r="J18" s="478">
        <v>1.6659999999999999</v>
      </c>
      <c r="K18" s="477">
        <f>100*J18/J$66</f>
        <v>4.1561059333027339</v>
      </c>
      <c r="L18" s="478">
        <v>1.212</v>
      </c>
      <c r="M18" s="477">
        <f>100*L18/L$66</f>
        <v>4.1268003677346865</v>
      </c>
      <c r="N18" s="478">
        <v>0.95299999999999996</v>
      </c>
      <c r="O18" s="477">
        <f>100*N18/N$66</f>
        <v>4.44144102157804</v>
      </c>
      <c r="P18" s="478">
        <v>0.58199999999999996</v>
      </c>
      <c r="Q18" s="477">
        <f>100*P18/P$66</f>
        <v>3.2039636663914122</v>
      </c>
      <c r="R18" s="479">
        <v>0.34100000000000003</v>
      </c>
      <c r="S18" s="477">
        <f>100*R18/R$66</f>
        <v>1.7573696145124713</v>
      </c>
      <c r="T18" s="479">
        <v>0.27200000000000002</v>
      </c>
      <c r="U18" s="477">
        <f>100*T18/T$66</f>
        <v>1.2775351087313889</v>
      </c>
      <c r="V18" s="479">
        <v>0.73299999999999998</v>
      </c>
      <c r="W18" s="477">
        <f>100*V18/V$66</f>
        <v>3.0591377655356613</v>
      </c>
      <c r="X18" s="479">
        <v>1.419</v>
      </c>
      <c r="Y18" s="477">
        <f>100*X18/X$66</f>
        <v>4.1358204605071416</v>
      </c>
      <c r="Z18" s="479" t="e">
        <f>SUMIF('[1]ST 7'!B$6:B$59,A18,'[1]ST 7'!AJ$6:AJ$60)</f>
        <v>#VALUE!</v>
      </c>
      <c r="AA18" s="477" t="e">
        <f>100*Z18/Z$66</f>
        <v>#VALUE!</v>
      </c>
      <c r="AB18" s="479">
        <v>0.14299999999999999</v>
      </c>
      <c r="AC18" s="477">
        <f>100*AB18/AB$66</f>
        <v>0.30596743479470223</v>
      </c>
      <c r="AD18" s="480">
        <v>0.152</v>
      </c>
      <c r="AE18" s="477">
        <f>100*AD18/AD$66</f>
        <v>0.32218406884564837</v>
      </c>
      <c r="AF18" s="481">
        <v>1.224</v>
      </c>
      <c r="AG18" s="482">
        <f>100*AF18/AF$66</f>
        <v>1.8940331765288438</v>
      </c>
      <c r="AH18" s="481">
        <v>2.4129999999999998</v>
      </c>
      <c r="AI18" s="482">
        <f>100*AH18/AH$66</f>
        <v>3.3434018733026649</v>
      </c>
      <c r="AJ18" s="481">
        <v>3.0379999999999998</v>
      </c>
      <c r="AK18" s="482">
        <f>100*AJ18/AJ$66</f>
        <v>4.1042961361794106</v>
      </c>
      <c r="AL18" s="480">
        <v>3.02</v>
      </c>
      <c r="AM18" s="482">
        <f t="shared" si="27"/>
        <v>4.7899252961981942</v>
      </c>
      <c r="AN18" s="480">
        <v>5.548</v>
      </c>
      <c r="AO18" s="482">
        <f t="shared" ref="AO18:AO23" si="31">100*AN18/AN$66</f>
        <v>9.993875418813273</v>
      </c>
      <c r="AP18" s="481">
        <v>5.3479999999999999</v>
      </c>
      <c r="AQ18" s="482">
        <f t="shared" ref="AQ18:AQ23" si="32">100*AP18/AP$66</f>
        <v>9.0050346023674432</v>
      </c>
      <c r="AR18" s="481">
        <v>7.0250000000000004</v>
      </c>
      <c r="AS18" s="482">
        <f t="shared" ref="AS18:AS24" si="33">100*AR18/AR$66</f>
        <v>10.747999571609983</v>
      </c>
      <c r="AT18" s="481">
        <v>7.4809999999999999</v>
      </c>
      <c r="AU18" s="482">
        <f t="shared" ref="AU18:AU25" si="34">100*AT18/AT$66</f>
        <v>9.7296102173262753</v>
      </c>
      <c r="AV18" s="481">
        <v>4.9210000000000003</v>
      </c>
      <c r="AW18" s="483" t="e">
        <f t="shared" ref="AW18:AW25" si="35">100*AV18/AV$66</f>
        <v>#VALUE!</v>
      </c>
      <c r="AX18" s="484">
        <v>1.609</v>
      </c>
      <c r="AY18" s="485">
        <f t="shared" ref="AY18:AY26" si="36">100*AX18/AX$66</f>
        <v>2.7914642609299096</v>
      </c>
      <c r="AZ18" s="484">
        <v>3.1880000000000002</v>
      </c>
      <c r="BA18" s="485">
        <f t="shared" ref="BA18:BA35" si="37">100*AZ18/AZ$66</f>
        <v>3.9149228804401197</v>
      </c>
      <c r="BB18" s="484" t="e">
        <f>SUMIF('[2]ST 7'!$B$6:$B$80,$A18,'[2]ST 7'!$AO$6:$AO$80)</f>
        <v>#VALUE!</v>
      </c>
      <c r="BC18" s="486" t="e">
        <f t="shared" ref="BC18:BC37" si="38">100*BB18/BB$66</f>
        <v>#VALUE!</v>
      </c>
    </row>
    <row r="19" spans="1:55" s="313" customFormat="1" ht="13.9" customHeight="1">
      <c r="A19" s="350" t="s">
        <v>51</v>
      </c>
      <c r="B19" s="487">
        <v>6.0000000000000001E-3</v>
      </c>
      <c r="C19" s="488">
        <f>100*B19/B$66</f>
        <v>1.2573607996814685E-2</v>
      </c>
      <c r="D19" s="489">
        <v>1E-3</v>
      </c>
      <c r="E19" s="488">
        <f>100*D19/D$66</f>
        <v>2.1810250817884411E-3</v>
      </c>
      <c r="F19" s="489">
        <v>1E-3</v>
      </c>
      <c r="G19" s="488">
        <f>100*F19/F$66</f>
        <v>2.3692191053828666E-3</v>
      </c>
      <c r="H19" s="489">
        <v>1E-3</v>
      </c>
      <c r="I19" s="488">
        <f>100*H19/H$66</f>
        <v>2.4018253872943444E-3</v>
      </c>
      <c r="J19" s="489">
        <v>3.0000000000000001E-3</v>
      </c>
      <c r="K19" s="488">
        <f>100*J19/J$66</f>
        <v>7.4839842736543838E-3</v>
      </c>
      <c r="L19" s="489">
        <v>8.0000000000000002E-3</v>
      </c>
      <c r="M19" s="488">
        <f>100*L19/L$66</f>
        <v>2.7239606387687704E-2</v>
      </c>
      <c r="N19" s="489">
        <v>7.0000000000000001E-3</v>
      </c>
      <c r="O19" s="488">
        <f>100*N19/N$66</f>
        <v>3.2623386307498725E-2</v>
      </c>
      <c r="P19" s="489">
        <v>1.6E-2</v>
      </c>
      <c r="Q19" s="488">
        <f>100*P19/P$66</f>
        <v>8.8081475364712364E-2</v>
      </c>
      <c r="R19" s="490">
        <v>1.7000000000000001E-2</v>
      </c>
      <c r="S19" s="488">
        <f>100*R19/R$66</f>
        <v>8.7610801896516169E-2</v>
      </c>
      <c r="T19" s="490">
        <v>5.0000000000000001E-3</v>
      </c>
      <c r="U19" s="488">
        <f>100*T19/T$66</f>
        <v>2.3484101263444648E-2</v>
      </c>
      <c r="V19" s="490">
        <v>2E-3</v>
      </c>
      <c r="W19" s="488">
        <f>100*V19/V$66</f>
        <v>8.3468970410249983E-3</v>
      </c>
      <c r="X19" s="490"/>
      <c r="Y19" s="488">
        <f>100*X19/X$66</f>
        <v>0</v>
      </c>
      <c r="Z19" s="490" t="e">
        <f>SUMIF('[1]ST 7'!B$6:B$59,A19,'[1]ST 7'!AJ$6:AJ$60)</f>
        <v>#VALUE!</v>
      </c>
      <c r="AA19" s="488" t="e">
        <f>100*Z19/Z$66</f>
        <v>#VALUE!</v>
      </c>
      <c r="AB19" s="490">
        <v>3.0000000000000001E-3</v>
      </c>
      <c r="AC19" s="488">
        <f>100*AB19/AB$66</f>
        <v>6.4188972334552922E-3</v>
      </c>
      <c r="AD19" s="491">
        <v>2E-3</v>
      </c>
      <c r="AE19" s="488">
        <f>100*AD19/AD$66</f>
        <v>4.239264063758531E-3</v>
      </c>
      <c r="AF19" s="492">
        <v>8.0000000000000002E-3</v>
      </c>
      <c r="AG19" s="493">
        <f>100*AF19/AF$66</f>
        <v>1.2379301807378066E-2</v>
      </c>
      <c r="AH19" s="492">
        <v>4.0000000000000001E-3</v>
      </c>
      <c r="AI19" s="493">
        <f>100*AH19/AH$66</f>
        <v>5.5423155794490937E-3</v>
      </c>
      <c r="AJ19" s="492">
        <v>3.0000000000000001E-3</v>
      </c>
      <c r="AK19" s="493">
        <f>100*AJ19/AJ$66</f>
        <v>4.0529586598216701E-3</v>
      </c>
      <c r="AL19" s="491">
        <v>5.0000000000000001E-3</v>
      </c>
      <c r="AM19" s="493">
        <f t="shared" si="27"/>
        <v>7.9303398943678712E-3</v>
      </c>
      <c r="AN19" s="491">
        <v>1.2999999999999999E-2</v>
      </c>
      <c r="AO19" s="493">
        <f t="shared" si="31"/>
        <v>2.3417516302194043E-2</v>
      </c>
      <c r="AP19" s="492">
        <v>1.2999999999999999E-2</v>
      </c>
      <c r="AQ19" s="493">
        <f t="shared" si="32"/>
        <v>2.188957551061645E-2</v>
      </c>
      <c r="AR19" s="492">
        <v>1.2999999999999999E-2</v>
      </c>
      <c r="AS19" s="493">
        <f t="shared" si="33"/>
        <v>1.9889536573797835E-2</v>
      </c>
      <c r="AT19" s="492">
        <v>1.2E-2</v>
      </c>
      <c r="AU19" s="493">
        <f t="shared" si="34"/>
        <v>1.5606913862841236E-2</v>
      </c>
      <c r="AV19" s="492">
        <v>5.0000000000000001E-3</v>
      </c>
      <c r="AW19" s="494" t="e">
        <f t="shared" si="35"/>
        <v>#VALUE!</v>
      </c>
      <c r="AX19" s="495">
        <v>3.0000000000000001E-3</v>
      </c>
      <c r="AY19" s="496">
        <f t="shared" si="36"/>
        <v>5.2047189451769598E-3</v>
      </c>
      <c r="AZ19" s="495">
        <v>7.0000000000000001E-3</v>
      </c>
      <c r="BA19" s="496">
        <f t="shared" si="37"/>
        <v>8.5961292857844544E-3</v>
      </c>
      <c r="BB19" s="484" t="e">
        <f>SUMIF('[2]ST 7'!$B$6:$B$80,$A19,'[2]ST 7'!$AO$6:$AO$80)</f>
        <v>#VALUE!</v>
      </c>
      <c r="BC19" s="497" t="e">
        <f t="shared" si="38"/>
        <v>#VALUE!</v>
      </c>
    </row>
    <row r="20" spans="1:55" s="313" customFormat="1" ht="13.9" customHeight="1">
      <c r="A20" s="350" t="s">
        <v>94</v>
      </c>
      <c r="B20" s="487"/>
      <c r="C20" s="488">
        <f>100*B20/B$66</f>
        <v>0</v>
      </c>
      <c r="D20" s="489"/>
      <c r="E20" s="488">
        <f>100*D20/D$66</f>
        <v>0</v>
      </c>
      <c r="F20" s="489">
        <v>8.9999999999999993E-3</v>
      </c>
      <c r="G20" s="488">
        <f>100*F20/F$66</f>
        <v>2.1322971948445794E-2</v>
      </c>
      <c r="H20" s="489">
        <v>1.2E-2</v>
      </c>
      <c r="I20" s="488">
        <f>100*H20/H$66</f>
        <v>2.8821904647532131E-2</v>
      </c>
      <c r="J20" s="489">
        <v>1.0999999999999999E-2</v>
      </c>
      <c r="K20" s="488">
        <f>100*J20/J$66</f>
        <v>2.744127567006607E-2</v>
      </c>
      <c r="L20" s="489">
        <v>1.4999999999999999E-2</v>
      </c>
      <c r="M20" s="488">
        <f>100*L20/L$66</f>
        <v>5.1074261976914441E-2</v>
      </c>
      <c r="N20" s="489">
        <v>1.7000000000000001E-2</v>
      </c>
      <c r="O20" s="488">
        <f>100*N20/N$66</f>
        <v>7.9228223889639765E-2</v>
      </c>
      <c r="P20" s="489">
        <v>1.4999999999999999E-2</v>
      </c>
      <c r="Q20" s="488">
        <f>100*P20/P$66</f>
        <v>8.2576383154417843E-2</v>
      </c>
      <c r="R20" s="490">
        <v>0.01</v>
      </c>
      <c r="S20" s="488">
        <f>100*R20/R$66</f>
        <v>5.1535765821480096E-2</v>
      </c>
      <c r="T20" s="490">
        <v>0.01</v>
      </c>
      <c r="U20" s="488">
        <f>100*T20/T$66</f>
        <v>4.6968202526889297E-2</v>
      </c>
      <c r="V20" s="490"/>
      <c r="W20" s="488">
        <f>100*V20/V$66</f>
        <v>0</v>
      </c>
      <c r="X20" s="490"/>
      <c r="Y20" s="488">
        <f>100*X20/X$66</f>
        <v>0</v>
      </c>
      <c r="Z20" s="490"/>
      <c r="AA20" s="488"/>
      <c r="AB20" s="490"/>
      <c r="AC20" s="488">
        <f>100*AB20/AB$66</f>
        <v>0</v>
      </c>
      <c r="AD20" s="520"/>
      <c r="AE20" s="520"/>
      <c r="AF20" s="492"/>
      <c r="AG20" s="493"/>
      <c r="AH20" s="492"/>
      <c r="AI20" s="493"/>
      <c r="AJ20" s="492"/>
      <c r="AK20" s="493"/>
      <c r="AL20" s="491">
        <v>0</v>
      </c>
      <c r="AM20" s="493">
        <f t="shared" si="27"/>
        <v>0</v>
      </c>
      <c r="AN20" s="491">
        <v>0</v>
      </c>
      <c r="AO20" s="493">
        <f t="shared" si="31"/>
        <v>0</v>
      </c>
      <c r="AP20" s="492">
        <v>7.0000000000000001E-3</v>
      </c>
      <c r="AQ20" s="493">
        <f t="shared" si="32"/>
        <v>1.1786694505716551E-2</v>
      </c>
      <c r="AR20" s="492">
        <v>0</v>
      </c>
      <c r="AS20" s="493">
        <f t="shared" si="33"/>
        <v>0</v>
      </c>
      <c r="AT20" s="492">
        <v>0</v>
      </c>
      <c r="AU20" s="493">
        <f t="shared" si="34"/>
        <v>0</v>
      </c>
      <c r="AV20" s="492" t="e">
        <f>SUMIF('[2]ST 7'!$B$6:$B$80,$A20,'[2]ST 7'!$AF$6:$AF$80)</f>
        <v>#VALUE!</v>
      </c>
      <c r="AW20" s="494" t="e">
        <f t="shared" si="35"/>
        <v>#VALUE!</v>
      </c>
      <c r="AX20" s="495">
        <v>0</v>
      </c>
      <c r="AY20" s="496">
        <f t="shared" si="36"/>
        <v>0</v>
      </c>
      <c r="AZ20" s="495">
        <v>4.0000000000000001E-3</v>
      </c>
      <c r="BA20" s="496">
        <f t="shared" si="37"/>
        <v>4.9120738775911164E-3</v>
      </c>
      <c r="BB20" s="495" t="e">
        <f>SUMIF('[2]ST 7'!$B$6:$B$80,$A20,'[2]ST 7'!$AO$6:$AO$80)</f>
        <v>#VALUE!</v>
      </c>
      <c r="BC20" s="497" t="e">
        <f t="shared" si="38"/>
        <v>#VALUE!</v>
      </c>
    </row>
    <row r="21" spans="1:55" s="313" customFormat="1" ht="13.9" customHeight="1">
      <c r="A21" s="350" t="s">
        <v>46</v>
      </c>
      <c r="B21" s="487">
        <v>1.7000000000000001E-2</v>
      </c>
      <c r="C21" s="488">
        <f>100*B21/B$66</f>
        <v>3.5625222657641613E-2</v>
      </c>
      <c r="D21" s="489"/>
      <c r="E21" s="488">
        <f>100*D21/D$66</f>
        <v>0</v>
      </c>
      <c r="F21" s="489">
        <v>1E-3</v>
      </c>
      <c r="G21" s="488">
        <f>100*F21/F$66</f>
        <v>2.3692191053828666E-3</v>
      </c>
      <c r="H21" s="489">
        <v>2E-3</v>
      </c>
      <c r="I21" s="488">
        <f>100*H21/H$66</f>
        <v>4.8036507745886888E-3</v>
      </c>
      <c r="J21" s="489">
        <v>4.1000000000000002E-2</v>
      </c>
      <c r="K21" s="488">
        <f>100*J21/J$66</f>
        <v>0.10228111840660993</v>
      </c>
      <c r="L21" s="489">
        <v>5.8000000000000003E-2</v>
      </c>
      <c r="M21" s="488">
        <f>100*L21/L$66</f>
        <v>0.19748714631073586</v>
      </c>
      <c r="N21" s="489">
        <v>0.05</v>
      </c>
      <c r="O21" s="488">
        <f>100*N21/N$66</f>
        <v>0.23302418791070517</v>
      </c>
      <c r="P21" s="489">
        <v>8.0000000000000002E-3</v>
      </c>
      <c r="Q21" s="488">
        <f>100*P21/P$66</f>
        <v>4.4040737682356182E-2</v>
      </c>
      <c r="R21" s="490">
        <v>8.5000000000000006E-2</v>
      </c>
      <c r="S21" s="488">
        <f>100*R21/R$66</f>
        <v>0.43805400948258083</v>
      </c>
      <c r="T21" s="490">
        <v>6.3E-2</v>
      </c>
      <c r="U21" s="488">
        <f>100*T21/T$66</f>
        <v>0.29589967591940253</v>
      </c>
      <c r="V21" s="490">
        <v>1.2999999999999999E-2</v>
      </c>
      <c r="W21" s="488">
        <f>100*V21/V$66</f>
        <v>5.425483076666248E-2</v>
      </c>
      <c r="X21" s="490">
        <v>3.3000000000000002E-2</v>
      </c>
      <c r="Y21" s="488">
        <f>100*X21/X$66</f>
        <v>9.6181871174584696E-2</v>
      </c>
      <c r="Z21" s="490" t="e">
        <f>SUMIF('[1]ST 7'!B$6:B$59,A21,'[1]ST 7'!AJ$6:AJ$60)</f>
        <v>#VALUE!</v>
      </c>
      <c r="AA21" s="488" t="e">
        <f>100*Z21/Z$66</f>
        <v>#VALUE!</v>
      </c>
      <c r="AB21" s="490">
        <v>1.4999999999999999E-2</v>
      </c>
      <c r="AC21" s="488">
        <f>100*AB21/AB$66</f>
        <v>3.2094486167276462E-2</v>
      </c>
      <c r="AD21" s="491">
        <v>6.4000000000000001E-2</v>
      </c>
      <c r="AE21" s="488">
        <f>100*AD21/AD$66</f>
        <v>0.13565645004027299</v>
      </c>
      <c r="AF21" s="492"/>
      <c r="AG21" s="493"/>
      <c r="AH21" s="492">
        <v>0.11700000000000001</v>
      </c>
      <c r="AI21" s="493">
        <f>100*AH21/AH$66</f>
        <v>0.16211273069888599</v>
      </c>
      <c r="AJ21" s="492"/>
      <c r="AK21" s="493">
        <f>100*AJ21/AJ$66</f>
        <v>0</v>
      </c>
      <c r="AL21" s="491">
        <v>1.0999999999999999E-2</v>
      </c>
      <c r="AM21" s="493">
        <f t="shared" si="27"/>
        <v>1.7446747767609315E-2</v>
      </c>
      <c r="AN21" s="491">
        <v>0.02</v>
      </c>
      <c r="AO21" s="493">
        <f t="shared" si="31"/>
        <v>3.6026948157221607E-2</v>
      </c>
      <c r="AP21" s="492">
        <v>0.03</v>
      </c>
      <c r="AQ21" s="493">
        <f t="shared" si="32"/>
        <v>5.0514405024499498E-2</v>
      </c>
      <c r="AR21" s="492">
        <v>4.1000000000000002E-2</v>
      </c>
      <c r="AS21" s="493">
        <f t="shared" si="33"/>
        <v>6.2728538425054714E-2</v>
      </c>
      <c r="AT21" s="492">
        <v>1.2999999999999999E-2</v>
      </c>
      <c r="AU21" s="493">
        <f t="shared" si="34"/>
        <v>1.6907490018078009E-2</v>
      </c>
      <c r="AV21" s="492">
        <v>0.06</v>
      </c>
      <c r="AW21" s="494" t="e">
        <f t="shared" si="35"/>
        <v>#VALUE!</v>
      </c>
      <c r="AX21" s="495">
        <v>0.06</v>
      </c>
      <c r="AY21" s="496">
        <f t="shared" si="36"/>
        <v>0.10409437890353919</v>
      </c>
      <c r="AZ21" s="495">
        <v>0.06</v>
      </c>
      <c r="BA21" s="496">
        <f t="shared" si="37"/>
        <v>7.3681108163866749E-2</v>
      </c>
      <c r="BB21" s="495" t="e">
        <f>SUMIF('[2]ST 7'!$B$6:$B$80,$A21,'[2]ST 7'!$AO$6:$AO$80)</f>
        <v>#VALUE!</v>
      </c>
      <c r="BC21" s="497" t="e">
        <f t="shared" si="38"/>
        <v>#VALUE!</v>
      </c>
    </row>
    <row r="22" spans="1:55" s="313" customFormat="1" ht="13.9" customHeight="1">
      <c r="A22" s="350" t="s">
        <v>47</v>
      </c>
      <c r="B22" s="487">
        <v>0.22500000000000001</v>
      </c>
      <c r="C22" s="488">
        <f>100*B22/B$66</f>
        <v>0.47151029988055071</v>
      </c>
      <c r="D22" s="489">
        <v>0.20699999999999999</v>
      </c>
      <c r="E22" s="488">
        <f>100*D22/D$66</f>
        <v>0.45147219193020721</v>
      </c>
      <c r="F22" s="489">
        <v>0.184</v>
      </c>
      <c r="G22" s="488">
        <f>100*F22/F$66</f>
        <v>0.43593631539044736</v>
      </c>
      <c r="H22" s="489">
        <v>0.16900000000000001</v>
      </c>
      <c r="I22" s="488">
        <f>100*H22/H$66</f>
        <v>0.40590849045274424</v>
      </c>
      <c r="J22" s="489">
        <v>3.2000000000000001E-2</v>
      </c>
      <c r="K22" s="488">
        <f>100*J22/J$66</f>
        <v>7.9829165585646761E-2</v>
      </c>
      <c r="L22" s="489">
        <v>5.0999999999999997E-2</v>
      </c>
      <c r="M22" s="488">
        <f>100*L22/L$66</f>
        <v>0.1736524907215091</v>
      </c>
      <c r="N22" s="489">
        <v>2.5000000000000001E-2</v>
      </c>
      <c r="O22" s="488">
        <f>100*N22/N$66</f>
        <v>0.11651209395535259</v>
      </c>
      <c r="P22" s="489">
        <v>4.1000000000000002E-2</v>
      </c>
      <c r="Q22" s="488">
        <f>100*P22/P$66</f>
        <v>0.22570878062207547</v>
      </c>
      <c r="R22" s="490">
        <v>0.01</v>
      </c>
      <c r="S22" s="488">
        <f>100*R22/R$66</f>
        <v>5.1535765821480096E-2</v>
      </c>
      <c r="T22" s="490">
        <v>9.0000000000000011E-3</v>
      </c>
      <c r="U22" s="488">
        <f>100*T22/T$66</f>
        <v>4.2271382274200374E-2</v>
      </c>
      <c r="V22" s="490">
        <v>7.0000000000000001E-3</v>
      </c>
      <c r="W22" s="488">
        <f>100*V22/V$66</f>
        <v>2.9214139643587492E-2</v>
      </c>
      <c r="X22" s="490">
        <v>7.0000000000000001E-3</v>
      </c>
      <c r="Y22" s="488">
        <f>100*X22/X$66</f>
        <v>2.0402215097639176E-2</v>
      </c>
      <c r="Z22" s="490" t="e">
        <f>SUMIF('[1]ST 7'!B$6:B$59,A22,'[1]ST 7'!AJ$6:AJ$60)</f>
        <v>#VALUE!</v>
      </c>
      <c r="AA22" s="488" t="e">
        <f>100*Z22/Z$66</f>
        <v>#VALUE!</v>
      </c>
      <c r="AB22" s="490">
        <v>9.0000000000000011E-3</v>
      </c>
      <c r="AC22" s="488">
        <f>100*AB22/AB$66</f>
        <v>1.9256691700365879E-2</v>
      </c>
      <c r="AD22" s="491">
        <v>0.01</v>
      </c>
      <c r="AE22" s="488">
        <f>100*AD22/AD$66</f>
        <v>2.1196320318792657E-2</v>
      </c>
      <c r="AF22" s="492">
        <v>1.4999999999999999E-2</v>
      </c>
      <c r="AG22" s="493">
        <f>100*AF22/AF$66</f>
        <v>2.3211190888833871E-2</v>
      </c>
      <c r="AH22" s="492">
        <v>8.0000000000000002E-3</v>
      </c>
      <c r="AI22" s="493">
        <f>100*AH22/AH$66</f>
        <v>1.1084631158898187E-2</v>
      </c>
      <c r="AJ22" s="492">
        <v>8.9999999999999993E-3</v>
      </c>
      <c r="AK22" s="493">
        <f>100*AJ22/AJ$66</f>
        <v>1.2158875979465009E-2</v>
      </c>
      <c r="AL22" s="491">
        <v>8.0000000000000002E-3</v>
      </c>
      <c r="AM22" s="493">
        <f t="shared" si="27"/>
        <v>1.2688543830988596E-2</v>
      </c>
      <c r="AN22" s="491">
        <v>9.0000000000000011E-3</v>
      </c>
      <c r="AO22" s="493">
        <f t="shared" si="31"/>
        <v>1.6212126670749723E-2</v>
      </c>
      <c r="AP22" s="492">
        <v>1.2999999999999999E-2</v>
      </c>
      <c r="AQ22" s="493">
        <f t="shared" si="32"/>
        <v>2.188957551061645E-2</v>
      </c>
      <c r="AR22" s="492">
        <v>1.4E-2</v>
      </c>
      <c r="AS22" s="493">
        <f t="shared" si="33"/>
        <v>2.141950092562844E-2</v>
      </c>
      <c r="AT22" s="492">
        <v>7.0000000000000001E-3</v>
      </c>
      <c r="AU22" s="493">
        <f t="shared" si="34"/>
        <v>9.1040330866573888E-3</v>
      </c>
      <c r="AV22" s="492" t="e">
        <f>SUMIF('[2]ST 7'!$B$6:$B$80,$A22,'[2]ST 7'!$AF$6:$AF$80)</f>
        <v>#VALUE!</v>
      </c>
      <c r="AW22" s="494" t="e">
        <f t="shared" si="35"/>
        <v>#VALUE!</v>
      </c>
      <c r="AX22" s="495">
        <v>4.0000000000000001E-3</v>
      </c>
      <c r="AY22" s="496">
        <f t="shared" si="36"/>
        <v>6.939625260235947E-3</v>
      </c>
      <c r="AZ22" s="495">
        <v>4.0000000000000001E-3</v>
      </c>
      <c r="BA22" s="496">
        <f t="shared" si="37"/>
        <v>4.9120738775911164E-3</v>
      </c>
      <c r="BB22" s="495" t="e">
        <f>SUMIF('[2]ST 7'!$B$6:$B$80,$A22,'[2]ST 7'!$AO$6:$AO$80)</f>
        <v>#VALUE!</v>
      </c>
      <c r="BC22" s="497" t="e">
        <f t="shared" si="38"/>
        <v>#VALUE!</v>
      </c>
    </row>
    <row r="23" spans="1:55" s="313" customFormat="1" ht="13.9" customHeight="1">
      <c r="A23" s="498" t="s">
        <v>54</v>
      </c>
      <c r="B23" s="487"/>
      <c r="C23" s="488"/>
      <c r="D23" s="489"/>
      <c r="E23" s="488"/>
      <c r="F23" s="489"/>
      <c r="G23" s="488"/>
      <c r="H23" s="489"/>
      <c r="I23" s="488"/>
      <c r="J23" s="489"/>
      <c r="K23" s="488"/>
      <c r="L23" s="489"/>
      <c r="M23" s="488"/>
      <c r="N23" s="489"/>
      <c r="O23" s="488"/>
      <c r="P23" s="489"/>
      <c r="Q23" s="488"/>
      <c r="R23" s="490"/>
      <c r="S23" s="488"/>
      <c r="T23" s="490"/>
      <c r="U23" s="488"/>
      <c r="V23" s="490"/>
      <c r="W23" s="488"/>
      <c r="X23" s="490"/>
      <c r="Y23" s="488"/>
      <c r="Z23" s="490"/>
      <c r="AA23" s="488"/>
      <c r="AB23" s="492"/>
      <c r="AC23" s="488"/>
      <c r="AD23" s="491"/>
      <c r="AE23" s="488"/>
      <c r="AF23" s="492"/>
      <c r="AG23" s="493"/>
      <c r="AH23" s="492"/>
      <c r="AI23" s="493"/>
      <c r="AJ23" s="492"/>
      <c r="AK23" s="493"/>
      <c r="AL23" s="491">
        <v>6.0000000000000001E-3</v>
      </c>
      <c r="AM23" s="493">
        <f t="shared" si="27"/>
        <v>9.5164078732414455E-3</v>
      </c>
      <c r="AN23" s="491">
        <v>0</v>
      </c>
      <c r="AO23" s="493">
        <f t="shared" si="31"/>
        <v>0</v>
      </c>
      <c r="AP23" s="492">
        <v>0</v>
      </c>
      <c r="AQ23" s="493">
        <f t="shared" si="32"/>
        <v>0</v>
      </c>
      <c r="AR23" s="492">
        <v>0</v>
      </c>
      <c r="AS23" s="493">
        <f t="shared" si="33"/>
        <v>0</v>
      </c>
      <c r="AT23" s="492">
        <v>0</v>
      </c>
      <c r="AU23" s="493">
        <f t="shared" si="34"/>
        <v>0</v>
      </c>
      <c r="AV23" s="492">
        <v>0.185</v>
      </c>
      <c r="AW23" s="494" t="e">
        <f t="shared" si="35"/>
        <v>#VALUE!</v>
      </c>
      <c r="AX23" s="495">
        <v>0.185</v>
      </c>
      <c r="AY23" s="496">
        <f t="shared" si="36"/>
        <v>0.32095766828591255</v>
      </c>
      <c r="AZ23" s="495">
        <v>0</v>
      </c>
      <c r="BA23" s="496">
        <f t="shared" si="37"/>
        <v>0</v>
      </c>
      <c r="BB23" s="495" t="e">
        <f>SUMIF('[2]ST 7'!$B$6:$B$80,$A23,'[2]ST 7'!$AO$6:$AO$80)</f>
        <v>#VALUE!</v>
      </c>
      <c r="BC23" s="497" t="e">
        <f t="shared" si="38"/>
        <v>#VALUE!</v>
      </c>
    </row>
    <row r="24" spans="1:55" s="313" customFormat="1" ht="13.9" customHeight="1">
      <c r="A24" s="521" t="s">
        <v>263</v>
      </c>
      <c r="B24" s="487"/>
      <c r="C24" s="488"/>
      <c r="D24" s="489"/>
      <c r="E24" s="488"/>
      <c r="F24" s="489"/>
      <c r="G24" s="488"/>
      <c r="H24" s="489"/>
      <c r="I24" s="488"/>
      <c r="J24" s="489"/>
      <c r="K24" s="488"/>
      <c r="L24" s="489"/>
      <c r="M24" s="488"/>
      <c r="N24" s="489"/>
      <c r="O24" s="488"/>
      <c r="P24" s="489"/>
      <c r="Q24" s="488"/>
      <c r="R24" s="490"/>
      <c r="S24" s="488"/>
      <c r="T24" s="490"/>
      <c r="U24" s="488"/>
      <c r="V24" s="490"/>
      <c r="W24" s="488"/>
      <c r="X24" s="490"/>
      <c r="Y24" s="488"/>
      <c r="Z24" s="490"/>
      <c r="AA24" s="488"/>
      <c r="AB24" s="490"/>
      <c r="AC24" s="488"/>
      <c r="AD24" s="491"/>
      <c r="AE24" s="488"/>
      <c r="AF24" s="492"/>
      <c r="AG24" s="493"/>
      <c r="AH24" s="492"/>
      <c r="AI24" s="493"/>
      <c r="AJ24" s="492"/>
      <c r="AK24" s="493"/>
      <c r="AL24" s="491"/>
      <c r="AM24" s="493"/>
      <c r="AN24" s="491"/>
      <c r="AO24" s="493"/>
      <c r="AP24" s="492"/>
      <c r="AQ24" s="493"/>
      <c r="AR24" s="492">
        <v>0</v>
      </c>
      <c r="AS24" s="493">
        <f t="shared" si="33"/>
        <v>0</v>
      </c>
      <c r="AT24" s="492">
        <v>0</v>
      </c>
      <c r="AU24" s="493">
        <f t="shared" si="34"/>
        <v>0</v>
      </c>
      <c r="AV24" s="492" t="e">
        <f>SUMIF('[2]ST 7'!$B$6:$B$80,$A24,'[2]ST 7'!$AF$6:$AF$80)</f>
        <v>#VALUE!</v>
      </c>
      <c r="AW24" s="494" t="e">
        <f t="shared" si="35"/>
        <v>#VALUE!</v>
      </c>
      <c r="AX24" s="495">
        <v>0</v>
      </c>
      <c r="AY24" s="496">
        <f t="shared" si="36"/>
        <v>0</v>
      </c>
      <c r="AZ24" s="495">
        <v>0</v>
      </c>
      <c r="BA24" s="496">
        <f t="shared" si="37"/>
        <v>0</v>
      </c>
      <c r="BB24" s="495" t="e">
        <f>SUMIF('[2]ST 7'!$B$6:$B$80,$A24,'[2]ST 7'!$AO$6:$AO$80)</f>
        <v>#VALUE!</v>
      </c>
      <c r="BC24" s="497" t="e">
        <f t="shared" si="38"/>
        <v>#VALUE!</v>
      </c>
    </row>
    <row r="25" spans="1:55" s="313" customFormat="1" ht="13.9" customHeight="1">
      <c r="A25" s="521" t="s">
        <v>304</v>
      </c>
      <c r="B25" s="487"/>
      <c r="C25" s="488"/>
      <c r="D25" s="489"/>
      <c r="E25" s="488"/>
      <c r="F25" s="489"/>
      <c r="G25" s="488"/>
      <c r="H25" s="489"/>
      <c r="I25" s="488"/>
      <c r="J25" s="489"/>
      <c r="K25" s="488"/>
      <c r="L25" s="489"/>
      <c r="M25" s="488"/>
      <c r="N25" s="489"/>
      <c r="O25" s="488"/>
      <c r="P25" s="489"/>
      <c r="Q25" s="488"/>
      <c r="R25" s="490"/>
      <c r="S25" s="488"/>
      <c r="T25" s="490"/>
      <c r="U25" s="488"/>
      <c r="V25" s="490"/>
      <c r="W25" s="488"/>
      <c r="X25" s="490"/>
      <c r="Y25" s="488"/>
      <c r="Z25" s="490"/>
      <c r="AA25" s="488"/>
      <c r="AB25" s="490"/>
      <c r="AC25" s="488"/>
      <c r="AD25" s="491"/>
      <c r="AE25" s="488"/>
      <c r="AF25" s="492"/>
      <c r="AG25" s="493"/>
      <c r="AH25" s="492"/>
      <c r="AI25" s="493"/>
      <c r="AJ25" s="492"/>
      <c r="AK25" s="493"/>
      <c r="AL25" s="491"/>
      <c r="AM25" s="493"/>
      <c r="AN25" s="491"/>
      <c r="AO25" s="493"/>
      <c r="AP25" s="492"/>
      <c r="AQ25" s="493"/>
      <c r="AR25" s="492"/>
      <c r="AS25" s="493"/>
      <c r="AT25" s="492">
        <v>0.127</v>
      </c>
      <c r="AU25" s="493">
        <f t="shared" si="34"/>
        <v>0.16517317171506973</v>
      </c>
      <c r="AV25" s="492">
        <v>0.223</v>
      </c>
      <c r="AW25" s="494" t="e">
        <f t="shared" si="35"/>
        <v>#VALUE!</v>
      </c>
      <c r="AX25" s="495">
        <v>0.56099999999999994</v>
      </c>
      <c r="AY25" s="496">
        <f t="shared" si="36"/>
        <v>0.97328244274809139</v>
      </c>
      <c r="AZ25" s="495">
        <v>1.016</v>
      </c>
      <c r="BA25" s="496">
        <f t="shared" si="37"/>
        <v>1.2476667649081434</v>
      </c>
      <c r="BB25" s="495" t="e">
        <f>SUMIF('[2]ST 7'!$B$6:$B$80,$A25,'[2]ST 7'!$AO$6:$AO$80)</f>
        <v>#VALUE!</v>
      </c>
      <c r="BC25" s="497" t="e">
        <f t="shared" si="38"/>
        <v>#VALUE!</v>
      </c>
    </row>
    <row r="26" spans="1:55" s="313" customFormat="1" ht="13.9" customHeight="1">
      <c r="A26" s="498" t="s">
        <v>220</v>
      </c>
      <c r="B26" s="522">
        <v>0</v>
      </c>
      <c r="C26" s="523">
        <v>0</v>
      </c>
      <c r="D26" s="523">
        <v>0</v>
      </c>
      <c r="E26" s="523">
        <v>0</v>
      </c>
      <c r="F26" s="523">
        <v>0</v>
      </c>
      <c r="G26" s="523">
        <v>0</v>
      </c>
      <c r="H26" s="523">
        <v>1.4999999999999999E-2</v>
      </c>
      <c r="I26" s="523">
        <v>3.6040365209034128E-2</v>
      </c>
      <c r="J26" s="523">
        <v>-1.5400000000000002E-2</v>
      </c>
      <c r="K26" s="523">
        <v>-3.8403032343333109E-2</v>
      </c>
      <c r="L26" s="523">
        <v>1.4999999999999999E-2</v>
      </c>
      <c r="M26" s="523">
        <v>5.1100361109218513E-2</v>
      </c>
      <c r="N26" s="523">
        <v>0.02</v>
      </c>
      <c r="O26" s="523">
        <v>9.3296636656248558E-2</v>
      </c>
      <c r="P26" s="523">
        <v>1.9E-2</v>
      </c>
      <c r="Q26" s="523">
        <v>0.10470627135456849</v>
      </c>
      <c r="R26" s="523">
        <v>0.01</v>
      </c>
      <c r="S26" s="523">
        <v>5.1562338867691036E-2</v>
      </c>
      <c r="T26" s="523">
        <v>1.7999999999999999E-2</v>
      </c>
      <c r="U26" s="523">
        <v>8.4614299816669014E-2</v>
      </c>
      <c r="V26" s="523">
        <v>0.21299999999999999</v>
      </c>
      <c r="W26" s="523">
        <v>0.89661559185047979</v>
      </c>
      <c r="X26" s="523">
        <v>1.6E-2</v>
      </c>
      <c r="Y26" s="523">
        <v>4.6628198402984204E-2</v>
      </c>
      <c r="Z26" s="523">
        <v>0</v>
      </c>
      <c r="AA26" s="523">
        <v>0</v>
      </c>
      <c r="AB26" s="523">
        <v>8.0000000000000002E-3</v>
      </c>
      <c r="AC26" s="523">
        <v>1.7112665511561743E-2</v>
      </c>
      <c r="AD26" s="523">
        <v>1.4E-2</v>
      </c>
      <c r="AE26" s="523">
        <v>2.9662273825162087E-2</v>
      </c>
      <c r="AF26" s="523">
        <v>2.5999999999999999E-2</v>
      </c>
      <c r="AG26" s="523">
        <v>4.0220283398304565E-2</v>
      </c>
      <c r="AH26" s="523">
        <v>8.0000000000000002E-3</v>
      </c>
      <c r="AI26" s="523">
        <v>1.1084170419120194E-2</v>
      </c>
      <c r="AJ26" s="523">
        <v>2.8999999999999998E-2</v>
      </c>
      <c r="AK26" s="523">
        <v>3.9157439913583586E-2</v>
      </c>
      <c r="AL26" s="523">
        <v>3.9E-2</v>
      </c>
      <c r="AM26" s="523">
        <v>6.1856651176069401E-2</v>
      </c>
      <c r="AN26" s="523">
        <v>3.4000000000000002E-2</v>
      </c>
      <c r="AO26" s="493">
        <f>100*AN26/AN$66</f>
        <v>6.1245811867276734E-2</v>
      </c>
      <c r="AP26" s="492">
        <v>8.0000000000000002E-3</v>
      </c>
      <c r="AQ26" s="493">
        <f>100*AP26/AP$66</f>
        <v>1.34705080065332E-2</v>
      </c>
      <c r="AR26" s="492"/>
      <c r="AS26" s="493"/>
      <c r="AT26" s="492"/>
      <c r="AU26" s="493"/>
      <c r="AV26" s="492"/>
      <c r="AW26" s="494"/>
      <c r="AX26" s="495">
        <v>6.3E-2</v>
      </c>
      <c r="AY26" s="496">
        <f t="shared" si="36"/>
        <v>0.10929909784871615</v>
      </c>
      <c r="AZ26" s="495">
        <v>0.25</v>
      </c>
      <c r="BA26" s="496">
        <f t="shared" si="37"/>
        <v>0.30700461734944479</v>
      </c>
      <c r="BB26" s="495" t="e">
        <f>SUMIF('[2]ST 7'!$B$6:$B$80,$A26,'[2]ST 7'!$AO$6:$AO$80)</f>
        <v>#VALUE!</v>
      </c>
      <c r="BC26" s="497" t="e">
        <f t="shared" si="38"/>
        <v>#VALUE!</v>
      </c>
    </row>
    <row r="27" spans="1:55" s="313" customFormat="1" ht="13.9" customHeight="1">
      <c r="A27" s="525" t="s">
        <v>335</v>
      </c>
      <c r="B27" s="487"/>
      <c r="C27" s="488"/>
      <c r="D27" s="489"/>
      <c r="E27" s="488"/>
      <c r="F27" s="489"/>
      <c r="G27" s="488"/>
      <c r="H27" s="489"/>
      <c r="I27" s="488"/>
      <c r="J27" s="489"/>
      <c r="K27" s="488"/>
      <c r="L27" s="489"/>
      <c r="M27" s="488"/>
      <c r="N27" s="489"/>
      <c r="O27" s="488"/>
      <c r="P27" s="489"/>
      <c r="Q27" s="488"/>
      <c r="R27" s="490"/>
      <c r="S27" s="488"/>
      <c r="T27" s="490"/>
      <c r="U27" s="488"/>
      <c r="V27" s="490"/>
      <c r="W27" s="488"/>
      <c r="X27" s="490"/>
      <c r="Y27" s="488"/>
      <c r="Z27" s="490"/>
      <c r="AA27" s="488"/>
      <c r="AB27" s="492"/>
      <c r="AC27" s="488"/>
      <c r="AD27" s="491"/>
      <c r="AE27" s="488"/>
      <c r="AF27" s="492"/>
      <c r="AG27" s="493"/>
      <c r="AH27" s="492"/>
      <c r="AI27" s="493"/>
      <c r="AJ27" s="492"/>
      <c r="AK27" s="493"/>
      <c r="AL27" s="491"/>
      <c r="AM27" s="493"/>
      <c r="AN27" s="491"/>
      <c r="AO27" s="493"/>
      <c r="AP27" s="492"/>
      <c r="AQ27" s="493"/>
      <c r="AR27" s="492"/>
      <c r="AS27" s="493"/>
      <c r="AT27" s="492"/>
      <c r="AU27" s="493"/>
      <c r="AV27" s="492"/>
      <c r="AW27" s="494"/>
      <c r="AX27" s="495"/>
      <c r="AY27" s="496"/>
      <c r="AZ27" s="495">
        <v>0.49199999999999999</v>
      </c>
      <c r="BA27" s="496">
        <f t="shared" si="37"/>
        <v>0.60418508694370732</v>
      </c>
      <c r="BB27" s="495" t="e">
        <f>SUMIF('[2]ST 7'!$B$6:$B$80,$A27,'[2]ST 7'!$AO$6:$AO$80)</f>
        <v>#VALUE!</v>
      </c>
      <c r="BC27" s="497" t="e">
        <f t="shared" si="38"/>
        <v>#VALUE!</v>
      </c>
    </row>
    <row r="28" spans="1:55" s="313" customFormat="1" ht="13.9" customHeight="1">
      <c r="A28" s="350" t="s">
        <v>322</v>
      </c>
      <c r="B28" s="487"/>
      <c r="C28" s="488"/>
      <c r="D28" s="489"/>
      <c r="E28" s="488"/>
      <c r="F28" s="489"/>
      <c r="G28" s="488"/>
      <c r="H28" s="489"/>
      <c r="I28" s="488"/>
      <c r="J28" s="489"/>
      <c r="K28" s="488"/>
      <c r="L28" s="489"/>
      <c r="M28" s="488"/>
      <c r="N28" s="489"/>
      <c r="O28" s="488"/>
      <c r="P28" s="489"/>
      <c r="Q28" s="488"/>
      <c r="R28" s="490"/>
      <c r="S28" s="488"/>
      <c r="T28" s="490"/>
      <c r="U28" s="488"/>
      <c r="V28" s="490"/>
      <c r="W28" s="488"/>
      <c r="X28" s="490"/>
      <c r="Y28" s="488"/>
      <c r="Z28" s="526"/>
      <c r="AA28" s="488"/>
      <c r="AB28" s="526"/>
      <c r="AC28" s="488"/>
      <c r="AD28" s="491"/>
      <c r="AE28" s="488"/>
      <c r="AF28" s="492"/>
      <c r="AG28" s="493"/>
      <c r="AH28" s="492"/>
      <c r="AI28" s="493"/>
      <c r="AJ28" s="492"/>
      <c r="AK28" s="493"/>
      <c r="AL28" s="491"/>
      <c r="AM28" s="493"/>
      <c r="AN28" s="491"/>
      <c r="AO28" s="493"/>
      <c r="AP28" s="492"/>
      <c r="AQ28" s="493"/>
      <c r="AR28" s="492"/>
      <c r="AS28" s="493"/>
      <c r="AT28" s="492"/>
      <c r="AU28" s="493"/>
      <c r="AV28" s="492"/>
      <c r="AW28" s="494"/>
      <c r="AX28" s="495">
        <v>2E-3</v>
      </c>
      <c r="AY28" s="496">
        <f>100*AX28/AX$66</f>
        <v>3.4698126301179735E-3</v>
      </c>
      <c r="AZ28" s="495">
        <v>4.0000000000000001E-3</v>
      </c>
      <c r="BA28" s="496">
        <f t="shared" si="37"/>
        <v>4.9120738775911164E-3</v>
      </c>
      <c r="BB28" s="495" t="e">
        <f>SUMIF('[2]ST 7'!$B$6:$B$80,$A28,'[2]ST 7'!$AO$6:$AO$80)</f>
        <v>#VALUE!</v>
      </c>
      <c r="BC28" s="497" t="e">
        <f t="shared" si="38"/>
        <v>#VALUE!</v>
      </c>
    </row>
    <row r="29" spans="1:55" s="313" customFormat="1" ht="12.4" hidden="1" customHeight="1">
      <c r="A29" s="498" t="s">
        <v>223</v>
      </c>
      <c r="B29" s="487"/>
      <c r="C29" s="488"/>
      <c r="D29" s="489"/>
      <c r="E29" s="488"/>
      <c r="F29" s="489"/>
      <c r="G29" s="488"/>
      <c r="H29" s="489"/>
      <c r="I29" s="488"/>
      <c r="J29" s="489"/>
      <c r="K29" s="488"/>
      <c r="L29" s="489"/>
      <c r="M29" s="488"/>
      <c r="N29" s="489"/>
      <c r="O29" s="488"/>
      <c r="P29" s="489"/>
      <c r="Q29" s="488"/>
      <c r="R29" s="490"/>
      <c r="S29" s="488"/>
      <c r="T29" s="490"/>
      <c r="U29" s="488"/>
      <c r="V29" s="490"/>
      <c r="W29" s="488"/>
      <c r="X29" s="490"/>
      <c r="Y29" s="488"/>
      <c r="Z29" s="490"/>
      <c r="AA29" s="488"/>
      <c r="AB29" s="492"/>
      <c r="AC29" s="488"/>
      <c r="AD29" s="491"/>
      <c r="AE29" s="488"/>
      <c r="AF29" s="492"/>
      <c r="AG29" s="493"/>
      <c r="AH29" s="492">
        <v>2.1000000000000001E-2</v>
      </c>
      <c r="AI29" s="493">
        <f>100*AH29/AH$66</f>
        <v>2.909715679210774E-2</v>
      </c>
      <c r="AJ29" s="492">
        <v>1.7000000000000001E-2</v>
      </c>
      <c r="AK29" s="493">
        <f>100*AJ29/AJ$66</f>
        <v>2.2966765738989467E-2</v>
      </c>
      <c r="AL29" s="491">
        <v>8.9999999999999993E-3</v>
      </c>
      <c r="AM29" s="493">
        <f>100*AL29/AL$66</f>
        <v>1.4274611809862168E-2</v>
      </c>
      <c r="AN29" s="491">
        <v>5.0000000000000001E-3</v>
      </c>
      <c r="AO29" s="493">
        <f t="shared" ref="AO29:AO34" si="39">100*AN29/AN$66</f>
        <v>9.0067370393054017E-3</v>
      </c>
      <c r="AP29" s="492">
        <v>0</v>
      </c>
      <c r="AQ29" s="493">
        <f t="shared" ref="AQ29:AQ34" si="40">100*AP29/AP$66</f>
        <v>0</v>
      </c>
      <c r="AR29" s="492"/>
      <c r="AS29" s="493"/>
      <c r="AT29" s="492"/>
      <c r="AU29" s="493"/>
      <c r="AV29" s="492"/>
      <c r="AW29" s="494"/>
      <c r="AX29" s="495"/>
      <c r="AY29" s="496"/>
      <c r="AZ29" s="495">
        <v>0</v>
      </c>
      <c r="BA29" s="496">
        <f t="shared" si="37"/>
        <v>0</v>
      </c>
      <c r="BB29" s="495" t="e">
        <f>SUMIF('[2]ST 7'!$B$6:$B$80,$A29,'[2]ST 7'!$AO$6:$AO$80)</f>
        <v>#VALUE!</v>
      </c>
      <c r="BC29" s="497" t="e">
        <f t="shared" si="38"/>
        <v>#VALUE!</v>
      </c>
    </row>
    <row r="30" spans="1:55" s="313" customFormat="1" ht="12.4" hidden="1" customHeight="1">
      <c r="A30" s="350" t="s">
        <v>208</v>
      </c>
      <c r="B30" s="487">
        <v>0.22500000000000001</v>
      </c>
      <c r="C30" s="488">
        <f>100*B30/B$66</f>
        <v>0.47151029988055071</v>
      </c>
      <c r="D30" s="489">
        <v>0.20699999999999999</v>
      </c>
      <c r="E30" s="488">
        <f>100*D30/D$66</f>
        <v>0.45147219193020721</v>
      </c>
      <c r="F30" s="489">
        <v>0.184</v>
      </c>
      <c r="G30" s="488">
        <f>100*F30/F$66</f>
        <v>0.43593631539044736</v>
      </c>
      <c r="H30" s="489">
        <v>0.16900000000000001</v>
      </c>
      <c r="I30" s="488">
        <f>100*H30/H$66</f>
        <v>0.40590849045274424</v>
      </c>
      <c r="J30" s="489">
        <v>3.2000000000000001E-2</v>
      </c>
      <c r="K30" s="488">
        <f>100*J30/J$66</f>
        <v>7.9829165585646761E-2</v>
      </c>
      <c r="L30" s="489">
        <v>5.0999999999999997E-2</v>
      </c>
      <c r="M30" s="488">
        <f>100*L30/L$66</f>
        <v>0.1736524907215091</v>
      </c>
      <c r="N30" s="489">
        <v>2.5000000000000001E-2</v>
      </c>
      <c r="O30" s="488">
        <f>100*N30/N$66</f>
        <v>0.11651209395535259</v>
      </c>
      <c r="P30" s="489">
        <v>4.1000000000000002E-2</v>
      </c>
      <c r="Q30" s="488">
        <f>100*P30/P$66</f>
        <v>0.22570878062207547</v>
      </c>
      <c r="R30" s="490">
        <v>0.01</v>
      </c>
      <c r="S30" s="488">
        <f>100*R30/R$66</f>
        <v>5.1535765821480096E-2</v>
      </c>
      <c r="T30" s="490"/>
      <c r="U30" s="488"/>
      <c r="V30" s="490"/>
      <c r="W30" s="488"/>
      <c r="X30" s="490"/>
      <c r="Y30" s="488"/>
      <c r="Z30" s="490"/>
      <c r="AA30" s="488"/>
      <c r="AB30" s="492">
        <v>0.01</v>
      </c>
      <c r="AC30" s="488">
        <f>100*AB30/AB$66</f>
        <v>2.139632411151764E-2</v>
      </c>
      <c r="AD30" s="491">
        <v>2.1999999999999999E-2</v>
      </c>
      <c r="AE30" s="488">
        <f>100*AD30/AD$66</f>
        <v>4.6631904701343839E-2</v>
      </c>
      <c r="AF30" s="492">
        <v>4.9000000000000002E-2</v>
      </c>
      <c r="AG30" s="493">
        <f>100*AF30/AF$66</f>
        <v>7.5823223570190654E-2</v>
      </c>
      <c r="AH30" s="492">
        <v>0.104</v>
      </c>
      <c r="AI30" s="493">
        <f>100*AH30/AH$66</f>
        <v>0.14410020506567642</v>
      </c>
      <c r="AJ30" s="492">
        <v>4.0000000000000001E-3</v>
      </c>
      <c r="AK30" s="493">
        <f>100*AJ30/AJ$66</f>
        <v>5.4039448797622274E-3</v>
      </c>
      <c r="AL30" s="491">
        <v>2.1999999999999999E-2</v>
      </c>
      <c r="AM30" s="493">
        <f>100*AL30/AL$66</f>
        <v>3.489349553521863E-2</v>
      </c>
      <c r="AN30" s="491">
        <v>0</v>
      </c>
      <c r="AO30" s="493">
        <f t="shared" si="39"/>
        <v>0</v>
      </c>
      <c r="AP30" s="492">
        <v>0</v>
      </c>
      <c r="AQ30" s="493">
        <f t="shared" si="40"/>
        <v>0</v>
      </c>
      <c r="AR30" s="492"/>
      <c r="AS30" s="493"/>
      <c r="AT30" s="492"/>
      <c r="AU30" s="493"/>
      <c r="AV30" s="492"/>
      <c r="AW30" s="494"/>
      <c r="AX30" s="495"/>
      <c r="AY30" s="496"/>
      <c r="AZ30" s="495">
        <v>0</v>
      </c>
      <c r="BA30" s="496">
        <f t="shared" si="37"/>
        <v>0</v>
      </c>
      <c r="BB30" s="495" t="e">
        <f>SUMIF('[2]ST 7'!$B$6:$B$80,$A30,'[2]ST 7'!$AO$6:$AO$80)</f>
        <v>#VALUE!</v>
      </c>
      <c r="BC30" s="497" t="e">
        <f t="shared" si="38"/>
        <v>#VALUE!</v>
      </c>
    </row>
    <row r="31" spans="1:55" s="313" customFormat="1" ht="12.4" hidden="1" customHeight="1">
      <c r="A31" s="527" t="s">
        <v>266</v>
      </c>
      <c r="B31" s="487"/>
      <c r="C31" s="488"/>
      <c r="D31" s="489"/>
      <c r="E31" s="488"/>
      <c r="F31" s="489"/>
      <c r="G31" s="488"/>
      <c r="H31" s="489"/>
      <c r="I31" s="488"/>
      <c r="J31" s="489"/>
      <c r="K31" s="488"/>
      <c r="L31" s="489"/>
      <c r="M31" s="488"/>
      <c r="N31" s="489"/>
      <c r="O31" s="488"/>
      <c r="P31" s="489"/>
      <c r="Q31" s="488"/>
      <c r="R31" s="490"/>
      <c r="S31" s="488"/>
      <c r="T31" s="490"/>
      <c r="U31" s="488"/>
      <c r="V31" s="490"/>
      <c r="W31" s="488"/>
      <c r="X31" s="490">
        <v>4.0000000000000001E-3</v>
      </c>
      <c r="Y31" s="488">
        <f>100*X31/X$66</f>
        <v>1.1658408627222387E-2</v>
      </c>
      <c r="Z31" s="492" t="e">
        <f>SUMIF('[1]ST 7'!B$6:B$59,A31,'[1]ST 7'!AJ$6:AJ$60)</f>
        <v>#VALUE!</v>
      </c>
      <c r="AA31" s="488" t="e">
        <f>100*Z31/Z$66</f>
        <v>#VALUE!</v>
      </c>
      <c r="AB31" s="492">
        <v>2.1999999999999999E-2</v>
      </c>
      <c r="AC31" s="488">
        <f>100*AB31/AB$66</f>
        <v>4.7071913045338802E-2</v>
      </c>
      <c r="AD31" s="491">
        <v>9.2999999999999999E-2</v>
      </c>
      <c r="AE31" s="488">
        <f>100*AD31/AD$66</f>
        <v>0.19712577896477171</v>
      </c>
      <c r="AF31" s="492">
        <v>0.1</v>
      </c>
      <c r="AG31" s="493">
        <f>100*AF31/AF$66</f>
        <v>0.15474127259222581</v>
      </c>
      <c r="AH31" s="492">
        <v>6.0000000000000001E-3</v>
      </c>
      <c r="AI31" s="493">
        <f>100*AH31/AH$66</f>
        <v>8.3134733691736396E-3</v>
      </c>
      <c r="AJ31" s="492">
        <v>2.9000000000000001E-2</v>
      </c>
      <c r="AK31" s="493">
        <f>100*AJ31/AJ$66</f>
        <v>3.9178600378276147E-2</v>
      </c>
      <c r="AL31" s="491">
        <v>8.3000000000000004E-2</v>
      </c>
      <c r="AM31" s="493">
        <f>100*AL31/AL$66</f>
        <v>0.13164364224650668</v>
      </c>
      <c r="AN31" s="491">
        <v>0.11</v>
      </c>
      <c r="AO31" s="493">
        <f t="shared" si="39"/>
        <v>0.19814821486471881</v>
      </c>
      <c r="AP31" s="492">
        <v>8.8999999999999996E-2</v>
      </c>
      <c r="AQ31" s="493">
        <f t="shared" si="40"/>
        <v>0.14985940157268185</v>
      </c>
      <c r="AR31" s="492"/>
      <c r="AS31" s="493"/>
      <c r="AT31" s="492"/>
      <c r="AU31" s="493"/>
      <c r="AV31" s="492"/>
      <c r="AW31" s="494"/>
      <c r="AX31" s="495"/>
      <c r="AY31" s="496"/>
      <c r="AZ31" s="495">
        <v>0</v>
      </c>
      <c r="BA31" s="496">
        <f t="shared" si="37"/>
        <v>0</v>
      </c>
      <c r="BB31" s="495" t="e">
        <f>SUMIF('[2]ST 7'!$B$6:$B$80,$A31,'[2]ST 7'!$AO$6:$AO$80)</f>
        <v>#VALUE!</v>
      </c>
      <c r="BC31" s="497" t="e">
        <f t="shared" si="38"/>
        <v>#VALUE!</v>
      </c>
    </row>
    <row r="32" spans="1:55" s="313" customFormat="1" ht="12.4" hidden="1" customHeight="1">
      <c r="A32" s="350" t="s">
        <v>249</v>
      </c>
      <c r="B32" s="487"/>
      <c r="C32" s="488"/>
      <c r="D32" s="489"/>
      <c r="E32" s="488"/>
      <c r="F32" s="489"/>
      <c r="G32" s="488"/>
      <c r="H32" s="489"/>
      <c r="I32" s="488"/>
      <c r="J32" s="489"/>
      <c r="K32" s="488"/>
      <c r="L32" s="489"/>
      <c r="M32" s="488"/>
      <c r="N32" s="489"/>
      <c r="O32" s="488"/>
      <c r="P32" s="489"/>
      <c r="Q32" s="488"/>
      <c r="R32" s="490"/>
      <c r="S32" s="488"/>
      <c r="T32" s="490"/>
      <c r="U32" s="488"/>
      <c r="V32" s="490"/>
      <c r="W32" s="488"/>
      <c r="X32" s="490"/>
      <c r="Y32" s="488"/>
      <c r="Z32" s="526"/>
      <c r="AA32" s="488"/>
      <c r="AB32" s="526"/>
      <c r="AC32" s="488"/>
      <c r="AD32" s="491">
        <v>2.5999999999999999E-2</v>
      </c>
      <c r="AE32" s="488">
        <f>100*AD32/AD$66</f>
        <v>5.5110432828860904E-2</v>
      </c>
      <c r="AF32" s="492">
        <v>0.11899999999999999</v>
      </c>
      <c r="AG32" s="493">
        <f>100*AF32/AF$66</f>
        <v>0.1841421143847487</v>
      </c>
      <c r="AH32" s="492">
        <v>2.5000000000000001E-2</v>
      </c>
      <c r="AI32" s="493">
        <f>100*AH32/AH$66</f>
        <v>3.4639472371556831E-2</v>
      </c>
      <c r="AJ32" s="492">
        <v>8.9999999999999993E-3</v>
      </c>
      <c r="AK32" s="493">
        <f>100*AJ32/AJ$66</f>
        <v>1.2158875979465009E-2</v>
      </c>
      <c r="AL32" s="491">
        <v>0</v>
      </c>
      <c r="AM32" s="493">
        <f>100*AL32/AL$66</f>
        <v>0</v>
      </c>
      <c r="AN32" s="491">
        <v>0.03</v>
      </c>
      <c r="AO32" s="493">
        <f t="shared" si="39"/>
        <v>5.4040422235832407E-2</v>
      </c>
      <c r="AP32" s="492">
        <v>9.5000000000000001E-2</v>
      </c>
      <c r="AQ32" s="493">
        <f t="shared" si="40"/>
        <v>0.15996228257758174</v>
      </c>
      <c r="AR32" s="492"/>
      <c r="AS32" s="493"/>
      <c r="AT32" s="492"/>
      <c r="AU32" s="493"/>
      <c r="AV32" s="492"/>
      <c r="AW32" s="494"/>
      <c r="AX32" s="495"/>
      <c r="AY32" s="496"/>
      <c r="AZ32" s="495">
        <v>0</v>
      </c>
      <c r="BA32" s="496">
        <f t="shared" si="37"/>
        <v>0</v>
      </c>
      <c r="BB32" s="495" t="e">
        <f>SUMIF('[2]ST 7'!$B$6:$B$80,$A32,'[2]ST 7'!$AO$6:$AO$80)</f>
        <v>#VALUE!</v>
      </c>
      <c r="BC32" s="497" t="e">
        <f t="shared" si="38"/>
        <v>#VALUE!</v>
      </c>
    </row>
    <row r="33" spans="1:55" s="313" customFormat="1" ht="12.4" hidden="1" customHeight="1">
      <c r="A33" s="498" t="s">
        <v>250</v>
      </c>
      <c r="B33" s="487"/>
      <c r="C33" s="488"/>
      <c r="D33" s="489"/>
      <c r="E33" s="488"/>
      <c r="F33" s="489"/>
      <c r="G33" s="488"/>
      <c r="H33" s="489"/>
      <c r="I33" s="488"/>
      <c r="J33" s="489"/>
      <c r="K33" s="488"/>
      <c r="L33" s="489"/>
      <c r="M33" s="488"/>
      <c r="N33" s="489"/>
      <c r="O33" s="488"/>
      <c r="P33" s="489"/>
      <c r="Q33" s="488"/>
      <c r="R33" s="490"/>
      <c r="S33" s="488"/>
      <c r="T33" s="490"/>
      <c r="U33" s="488"/>
      <c r="V33" s="490"/>
      <c r="W33" s="488"/>
      <c r="X33" s="490"/>
      <c r="Y33" s="488"/>
      <c r="Z33" s="490"/>
      <c r="AA33" s="488"/>
      <c r="AB33" s="492"/>
      <c r="AC33" s="488"/>
      <c r="AD33" s="491"/>
      <c r="AE33" s="488"/>
      <c r="AF33" s="492"/>
      <c r="AG33" s="493"/>
      <c r="AH33" s="492"/>
      <c r="AI33" s="493"/>
      <c r="AJ33" s="492"/>
      <c r="AK33" s="493"/>
      <c r="AL33" s="491">
        <v>8.5000000000000006E-2</v>
      </c>
      <c r="AM33" s="493">
        <f>100*AL33/AL$66</f>
        <v>0.13481577820425383</v>
      </c>
      <c r="AN33" s="491">
        <v>7.6999999999999999E-2</v>
      </c>
      <c r="AO33" s="493">
        <f t="shared" si="39"/>
        <v>0.13870375040530317</v>
      </c>
      <c r="AP33" s="492">
        <v>7.0000000000000001E-3</v>
      </c>
      <c r="AQ33" s="493">
        <f t="shared" si="40"/>
        <v>1.1786694505716551E-2</v>
      </c>
      <c r="AR33" s="492"/>
      <c r="AS33" s="493"/>
      <c r="AT33" s="492"/>
      <c r="AU33" s="493"/>
      <c r="AV33" s="492"/>
      <c r="AW33" s="494"/>
      <c r="AX33" s="495"/>
      <c r="AY33" s="496"/>
      <c r="AZ33" s="495">
        <v>0</v>
      </c>
      <c r="BA33" s="496">
        <f t="shared" si="37"/>
        <v>0</v>
      </c>
      <c r="BB33" s="495" t="e">
        <f>SUMIF('[2]ST 7'!$B$6:$B$80,$A33,'[2]ST 7'!$AO$6:$AO$80)</f>
        <v>#VALUE!</v>
      </c>
      <c r="BC33" s="497" t="e">
        <f t="shared" si="38"/>
        <v>#VALUE!</v>
      </c>
    </row>
    <row r="34" spans="1:55" s="313" customFormat="1" ht="6.75" hidden="1" customHeight="1">
      <c r="A34" s="528" t="s">
        <v>261</v>
      </c>
      <c r="B34" s="487"/>
      <c r="C34" s="488"/>
      <c r="D34" s="489"/>
      <c r="E34" s="488"/>
      <c r="F34" s="489"/>
      <c r="G34" s="488"/>
      <c r="H34" s="489"/>
      <c r="I34" s="488"/>
      <c r="J34" s="489"/>
      <c r="K34" s="488"/>
      <c r="L34" s="489"/>
      <c r="M34" s="488"/>
      <c r="N34" s="489"/>
      <c r="O34" s="488"/>
      <c r="P34" s="489"/>
      <c r="Q34" s="488"/>
      <c r="R34" s="490"/>
      <c r="S34" s="488"/>
      <c r="T34" s="490"/>
      <c r="U34" s="488"/>
      <c r="V34" s="490"/>
      <c r="W34" s="488"/>
      <c r="X34" s="490"/>
      <c r="Y34" s="488"/>
      <c r="Z34" s="490"/>
      <c r="AA34" s="488"/>
      <c r="AB34" s="492"/>
      <c r="AC34" s="488"/>
      <c r="AD34" s="491"/>
      <c r="AE34" s="488"/>
      <c r="AF34" s="492"/>
      <c r="AG34" s="493"/>
      <c r="AH34" s="492"/>
      <c r="AI34" s="493"/>
      <c r="AJ34" s="492"/>
      <c r="AK34" s="493"/>
      <c r="AL34" s="491"/>
      <c r="AM34" s="493"/>
      <c r="AN34" s="491">
        <v>5.0000000000000001E-3</v>
      </c>
      <c r="AO34" s="493">
        <f t="shared" si="39"/>
        <v>9.0067370393054017E-3</v>
      </c>
      <c r="AP34" s="492">
        <v>0</v>
      </c>
      <c r="AQ34" s="493">
        <f t="shared" si="40"/>
        <v>0</v>
      </c>
      <c r="AR34" s="492"/>
      <c r="AS34" s="493"/>
      <c r="AT34" s="492"/>
      <c r="AU34" s="493"/>
      <c r="AV34" s="492"/>
      <c r="AW34" s="494"/>
      <c r="AX34" s="495"/>
      <c r="AY34" s="496"/>
      <c r="AZ34" s="495">
        <v>0</v>
      </c>
      <c r="BA34" s="496">
        <f t="shared" si="37"/>
        <v>0</v>
      </c>
      <c r="BB34" s="495" t="e">
        <f>SUMIF('[2]ST 7'!$B$6:$B$80,$A34,'[2]ST 7'!$AO$6:$AO$80)</f>
        <v>#VALUE!</v>
      </c>
      <c r="BC34" s="497" t="e">
        <f t="shared" si="38"/>
        <v>#VALUE!</v>
      </c>
    </row>
    <row r="35" spans="1:55" s="313" customFormat="1" ht="12.4" customHeight="1">
      <c r="A35" s="529" t="s">
        <v>333</v>
      </c>
      <c r="B35" s="499"/>
      <c r="C35" s="500"/>
      <c r="D35" s="501"/>
      <c r="E35" s="500"/>
      <c r="F35" s="501"/>
      <c r="G35" s="500"/>
      <c r="H35" s="501"/>
      <c r="I35" s="500"/>
      <c r="J35" s="501"/>
      <c r="K35" s="500"/>
      <c r="L35" s="501"/>
      <c r="M35" s="500"/>
      <c r="N35" s="501"/>
      <c r="O35" s="500"/>
      <c r="P35" s="501"/>
      <c r="Q35" s="500"/>
      <c r="R35" s="502"/>
      <c r="S35" s="500"/>
      <c r="T35" s="502"/>
      <c r="U35" s="500"/>
      <c r="V35" s="502"/>
      <c r="W35" s="500"/>
      <c r="X35" s="502"/>
      <c r="Y35" s="500"/>
      <c r="Z35" s="502"/>
      <c r="AA35" s="500"/>
      <c r="AB35" s="504"/>
      <c r="AC35" s="500"/>
      <c r="AD35" s="503"/>
      <c r="AE35" s="500"/>
      <c r="AF35" s="504"/>
      <c r="AG35" s="505"/>
      <c r="AH35" s="504"/>
      <c r="AI35" s="505"/>
      <c r="AJ35" s="504"/>
      <c r="AK35" s="505"/>
      <c r="AL35" s="503"/>
      <c r="AM35" s="505"/>
      <c r="AN35" s="503"/>
      <c r="AO35" s="505"/>
      <c r="AP35" s="504"/>
      <c r="AQ35" s="505"/>
      <c r="AR35" s="504"/>
      <c r="AS35" s="505"/>
      <c r="AT35" s="504"/>
      <c r="AU35" s="505"/>
      <c r="AV35" s="504"/>
      <c r="AW35" s="506"/>
      <c r="AX35" s="507"/>
      <c r="AY35" s="508"/>
      <c r="AZ35" s="507">
        <v>0.48799999999999999</v>
      </c>
      <c r="BA35" s="508">
        <f t="shared" si="37"/>
        <v>0.59927301306611613</v>
      </c>
      <c r="BB35" s="507" t="e">
        <f>SUMIF('[2]ST 7'!$B$6:$B$80,$A35,'[2]ST 7'!$AO$6:$AO$80)</f>
        <v>#VALUE!</v>
      </c>
      <c r="BC35" s="509" t="e">
        <f t="shared" si="38"/>
        <v>#VALUE!</v>
      </c>
    </row>
    <row r="36" spans="1:55" s="313" customFormat="1" ht="12.4" customHeight="1">
      <c r="A36" s="295" t="s">
        <v>392</v>
      </c>
      <c r="B36" s="530"/>
      <c r="C36" s="531"/>
      <c r="D36" s="530"/>
      <c r="E36" s="531"/>
      <c r="F36" s="530"/>
      <c r="G36" s="531"/>
      <c r="H36" s="530"/>
      <c r="I36" s="531"/>
      <c r="J36" s="530"/>
      <c r="K36" s="531"/>
      <c r="L36" s="530"/>
      <c r="M36" s="531"/>
      <c r="N36" s="530"/>
      <c r="O36" s="531"/>
      <c r="P36" s="530"/>
      <c r="Q36" s="531"/>
      <c r="R36" s="433"/>
      <c r="S36" s="531"/>
      <c r="T36" s="433"/>
      <c r="U36" s="531"/>
      <c r="V36" s="433"/>
      <c r="W36" s="531"/>
      <c r="X36" s="433"/>
      <c r="Y36" s="531"/>
      <c r="Z36" s="433"/>
      <c r="AA36" s="531"/>
      <c r="AB36" s="337"/>
      <c r="AC36" s="531"/>
      <c r="AD36" s="532"/>
      <c r="AE36" s="531"/>
      <c r="AF36" s="337"/>
      <c r="AG36" s="533"/>
      <c r="AH36" s="337"/>
      <c r="AI36" s="533"/>
      <c r="AJ36" s="337"/>
      <c r="AK36" s="533"/>
      <c r="AL36" s="532"/>
      <c r="AM36" s="533"/>
      <c r="AN36" s="532"/>
      <c r="AO36" s="533"/>
      <c r="AP36" s="337"/>
      <c r="AQ36" s="533"/>
      <c r="AR36" s="337"/>
      <c r="AS36" s="533"/>
      <c r="AT36" s="337"/>
      <c r="AU36" s="533"/>
      <c r="AV36" s="337"/>
      <c r="AW36" s="533"/>
      <c r="AX36" s="534"/>
      <c r="AY36" s="535"/>
      <c r="AZ36" s="534"/>
      <c r="BA36" s="535"/>
      <c r="BB36" s="507">
        <v>4.2999999999999997E-2</v>
      </c>
      <c r="BC36" s="509" t="e">
        <f t="shared" si="38"/>
        <v>#VALUE!</v>
      </c>
    </row>
    <row r="37" spans="1:55" s="313" customFormat="1" ht="12.4" customHeight="1">
      <c r="A37" s="295" t="s">
        <v>393</v>
      </c>
      <c r="B37" s="530"/>
      <c r="C37" s="531"/>
      <c r="D37" s="530"/>
      <c r="E37" s="531"/>
      <c r="F37" s="530"/>
      <c r="G37" s="531"/>
      <c r="H37" s="530"/>
      <c r="I37" s="531"/>
      <c r="J37" s="530"/>
      <c r="K37" s="531"/>
      <c r="L37" s="530"/>
      <c r="M37" s="531"/>
      <c r="N37" s="530"/>
      <c r="O37" s="531"/>
      <c r="P37" s="530"/>
      <c r="Q37" s="531"/>
      <c r="R37" s="433"/>
      <c r="S37" s="531"/>
      <c r="T37" s="433"/>
      <c r="U37" s="531"/>
      <c r="V37" s="433"/>
      <c r="W37" s="531"/>
      <c r="X37" s="433"/>
      <c r="Y37" s="531"/>
      <c r="Z37" s="433"/>
      <c r="AA37" s="531"/>
      <c r="AB37" s="337"/>
      <c r="AC37" s="531"/>
      <c r="AD37" s="532"/>
      <c r="AE37" s="531"/>
      <c r="AF37" s="337"/>
      <c r="AG37" s="533"/>
      <c r="AH37" s="337"/>
      <c r="AI37" s="533"/>
      <c r="AJ37" s="337"/>
      <c r="AK37" s="533"/>
      <c r="AL37" s="532"/>
      <c r="AM37" s="533"/>
      <c r="AN37" s="532"/>
      <c r="AO37" s="533"/>
      <c r="AP37" s="337"/>
      <c r="AQ37" s="533"/>
      <c r="AR37" s="337"/>
      <c r="AS37" s="533"/>
      <c r="AT37" s="337"/>
      <c r="AU37" s="533"/>
      <c r="AV37" s="337"/>
      <c r="AW37" s="533"/>
      <c r="AX37" s="534"/>
      <c r="AY37" s="535"/>
      <c r="AZ37" s="534"/>
      <c r="BA37" s="535"/>
      <c r="BB37" s="507" t="e">
        <f>SUMIF('[2]ST 7'!$B$6:$B$80,$A37,'[2]ST 7'!$AO$6:$AO$80)</f>
        <v>#VALUE!</v>
      </c>
      <c r="BC37" s="509" t="e">
        <f t="shared" si="38"/>
        <v>#VALUE!</v>
      </c>
    </row>
    <row r="38" spans="1:55" s="335" customFormat="1" ht="13.9" customHeight="1">
      <c r="A38" s="368" t="s">
        <v>409</v>
      </c>
      <c r="B38" s="510">
        <f t="shared" ref="B38:AG38" si="41">SUM(B17:B30)</f>
        <v>47.639000000000003</v>
      </c>
      <c r="C38" s="511">
        <f t="shared" si="41"/>
        <v>99.832351893375801</v>
      </c>
      <c r="D38" s="510">
        <f t="shared" si="41"/>
        <v>45.802999999999997</v>
      </c>
      <c r="E38" s="511">
        <f t="shared" si="41"/>
        <v>99.897491821155953</v>
      </c>
      <c r="F38" s="510">
        <f t="shared" si="41"/>
        <v>42.166999999999994</v>
      </c>
      <c r="G38" s="511">
        <f t="shared" si="41"/>
        <v>99.902862016679364</v>
      </c>
      <c r="H38" s="510">
        <f t="shared" si="41"/>
        <v>41.591999999999992</v>
      </c>
      <c r="I38" s="511">
        <f t="shared" si="41"/>
        <v>99.896734492745964</v>
      </c>
      <c r="J38" s="510">
        <f t="shared" si="41"/>
        <v>40.047599999999981</v>
      </c>
      <c r="K38" s="511">
        <f t="shared" si="41"/>
        <v>99.905217619461865</v>
      </c>
      <c r="L38" s="510">
        <f t="shared" si="41"/>
        <v>29.324999999999996</v>
      </c>
      <c r="M38" s="511">
        <f t="shared" si="41"/>
        <v>99.850208264000017</v>
      </c>
      <c r="N38" s="510">
        <f t="shared" si="41"/>
        <v>21.416999999999998</v>
      </c>
      <c r="O38" s="511">
        <f t="shared" si="41"/>
        <v>99.813667611163396</v>
      </c>
      <c r="P38" s="510">
        <f t="shared" si="41"/>
        <v>18.134999999999998</v>
      </c>
      <c r="Q38" s="511">
        <f t="shared" si="41"/>
        <v>99.83495675305015</v>
      </c>
      <c r="R38" s="512">
        <f t="shared" si="41"/>
        <v>19.367000000000004</v>
      </c>
      <c r="S38" s="511">
        <f t="shared" si="41"/>
        <v>99.809344239506743</v>
      </c>
      <c r="T38" s="512">
        <f t="shared" si="41"/>
        <v>21.161999999999999</v>
      </c>
      <c r="U38" s="511">
        <f t="shared" si="41"/>
        <v>99.394181722671391</v>
      </c>
      <c r="V38" s="512">
        <f t="shared" si="41"/>
        <v>23.791000000000004</v>
      </c>
      <c r="W38" s="511">
        <f t="shared" si="41"/>
        <v>99.29818480849417</v>
      </c>
      <c r="X38" s="512">
        <f t="shared" si="41"/>
        <v>34.056999999999995</v>
      </c>
      <c r="Y38" s="511">
        <f t="shared" si="41"/>
        <v>99.262600218222289</v>
      </c>
      <c r="Z38" s="512" t="e">
        <f t="shared" si="41"/>
        <v>#VALUE!</v>
      </c>
      <c r="AA38" s="511" t="e">
        <f t="shared" si="41"/>
        <v>#VALUE!</v>
      </c>
      <c r="AB38" s="512">
        <f t="shared" si="41"/>
        <v>46.501000000000005</v>
      </c>
      <c r="AC38" s="511">
        <f t="shared" si="41"/>
        <v>99.495042357190542</v>
      </c>
      <c r="AD38" s="514">
        <f t="shared" si="41"/>
        <v>46.834000000000003</v>
      </c>
      <c r="AE38" s="511">
        <f t="shared" si="41"/>
        <v>99.270834006412386</v>
      </c>
      <c r="AF38" s="514">
        <f t="shared" si="41"/>
        <v>63.188000000000002</v>
      </c>
      <c r="AG38" s="515">
        <f t="shared" si="41"/>
        <v>97.777902878099965</v>
      </c>
      <c r="AH38" s="514">
        <f>SUM(AH17:AH33)</f>
        <v>71.606000000000009</v>
      </c>
      <c r="AI38" s="515">
        <f>100*AH38/AH$66</f>
        <v>99.215762345507954</v>
      </c>
      <c r="AJ38" s="514">
        <f>SUM(AJ17:AJ34)</f>
        <v>72.688999999999993</v>
      </c>
      <c r="AK38" s="517">
        <f>100*AJ38/AJ$66</f>
        <v>98.201837341259122</v>
      </c>
      <c r="AL38" s="514">
        <f>SUM(AL17:AL34)</f>
        <v>61.45600000000001</v>
      </c>
      <c r="AM38" s="517">
        <f t="shared" ref="AM38:AM43" si="42">100*AL38/AL$66</f>
        <v>97.473393709654403</v>
      </c>
      <c r="AN38" s="514">
        <f>SUM(AN17:AN34)</f>
        <v>54.533999999999999</v>
      </c>
      <c r="AO38" s="517">
        <f>100*AN38/AN$66</f>
        <v>98.234679540296142</v>
      </c>
      <c r="AP38" s="514">
        <f t="shared" ref="AP38:AY38" si="43">SUM(AP17:AP34)</f>
        <v>59.100999999999992</v>
      </c>
      <c r="AQ38" s="517">
        <f t="shared" si="43"/>
        <v>99.51506171176483</v>
      </c>
      <c r="AR38" s="516">
        <f t="shared" si="43"/>
        <v>64.775999999999996</v>
      </c>
      <c r="AS38" s="517">
        <f t="shared" si="43"/>
        <v>99.104970854179115</v>
      </c>
      <c r="AT38" s="516">
        <f t="shared" si="43"/>
        <v>76.215000000000003</v>
      </c>
      <c r="AU38" s="517">
        <f t="shared" si="43"/>
        <v>99.12341167137042</v>
      </c>
      <c r="AV38" s="516" t="e">
        <f t="shared" si="43"/>
        <v>#VALUE!</v>
      </c>
      <c r="AW38" s="515" t="e">
        <f t="shared" si="43"/>
        <v>#VALUE!</v>
      </c>
      <c r="AX38" s="516">
        <f t="shared" si="43"/>
        <v>56.778000000000006</v>
      </c>
      <c r="AY38" s="517">
        <f t="shared" si="43"/>
        <v>98.504510756419123</v>
      </c>
      <c r="AZ38" s="516">
        <f>SUM(AZ17:AZ35)</f>
        <v>80.56800000000004</v>
      </c>
      <c r="BA38" s="517">
        <f>SUM(BA17:BA35)</f>
        <v>98.938992042440248</v>
      </c>
      <c r="BB38" s="516" t="e">
        <f>SUM(BB17:BB37)</f>
        <v>#VALUE!</v>
      </c>
      <c r="BC38" s="519" t="e">
        <f>SUM(BC17:BC35)</f>
        <v>#VALUE!</v>
      </c>
    </row>
    <row r="39" spans="1:55" s="313" customFormat="1" ht="13.9" customHeight="1">
      <c r="A39" s="336" t="s">
        <v>215</v>
      </c>
      <c r="B39" s="476">
        <v>0.08</v>
      </c>
      <c r="C39" s="477">
        <f>100*B39/B$66</f>
        <v>0.1676481066241958</v>
      </c>
      <c r="D39" s="478">
        <v>4.7E-2</v>
      </c>
      <c r="E39" s="477">
        <f>100*D39/D$66</f>
        <v>0.10250817884405672</v>
      </c>
      <c r="F39" s="478">
        <v>4.1000000000000002E-2</v>
      </c>
      <c r="G39" s="477">
        <f>100*F39/F$66</f>
        <v>9.7137983320697535E-2</v>
      </c>
      <c r="H39" s="478">
        <v>4.2999999999999997E-2</v>
      </c>
      <c r="I39" s="477">
        <f>100*H39/H$66</f>
        <v>0.1032784916536568</v>
      </c>
      <c r="J39" s="478">
        <v>3.7999999999999999E-2</v>
      </c>
      <c r="K39" s="477">
        <f>100*J39/J$66</f>
        <v>9.4797134132955527E-2</v>
      </c>
      <c r="L39" s="478">
        <v>4.3999999999999997E-2</v>
      </c>
      <c r="M39" s="477">
        <f>100*L39/L$66</f>
        <v>0.14981783513228233</v>
      </c>
      <c r="N39" s="478">
        <v>0.04</v>
      </c>
      <c r="O39" s="477">
        <f>100*N39/N$66</f>
        <v>0.18641935032856413</v>
      </c>
      <c r="P39" s="478">
        <v>0.03</v>
      </c>
      <c r="Q39" s="477">
        <f>100*P39/P$66</f>
        <v>0.16515276630883569</v>
      </c>
      <c r="R39" s="479">
        <v>2.4E-2</v>
      </c>
      <c r="S39" s="477">
        <f>100*R39/R$66</f>
        <v>0.12368583797155223</v>
      </c>
      <c r="T39" s="479">
        <v>2.8000000000000001E-2</v>
      </c>
      <c r="U39" s="477">
        <f>100*T39/T$66</f>
        <v>0.13151096707529003</v>
      </c>
      <c r="V39" s="479">
        <v>2.3E-2</v>
      </c>
      <c r="W39" s="477">
        <f>100*V39/V$66</f>
        <v>9.5989315971787462E-2</v>
      </c>
      <c r="X39" s="479">
        <v>3.6999999999999998E-2</v>
      </c>
      <c r="Y39" s="477">
        <f>100*X39/X$66</f>
        <v>0.10784027980180706</v>
      </c>
      <c r="Z39" s="481" t="e">
        <f>SUMIF('[1]ST 7'!B$6:B$59,A39,'[1]ST 7'!AJ$6:AJ$60)</f>
        <v>#VALUE!</v>
      </c>
      <c r="AA39" s="477" t="e">
        <f>100*Z39/Z$66</f>
        <v>#VALUE!</v>
      </c>
      <c r="AB39" s="481">
        <v>0.03</v>
      </c>
      <c r="AC39" s="477">
        <f>100*AB39/AB$66</f>
        <v>6.4188972334552924E-2</v>
      </c>
      <c r="AD39" s="480">
        <v>0.03</v>
      </c>
      <c r="AE39" s="477">
        <f>100*AD39/AD$66</f>
        <v>6.3588960956377963E-2</v>
      </c>
      <c r="AF39" s="481">
        <v>1.7999999999999999E-2</v>
      </c>
      <c r="AG39" s="482">
        <f>100*AF39/AF$66</f>
        <v>2.7853429066600644E-2</v>
      </c>
      <c r="AH39" s="481">
        <v>0.01</v>
      </c>
      <c r="AI39" s="482">
        <f>100*AH39/AH$66</f>
        <v>1.3855788948622733E-2</v>
      </c>
      <c r="AJ39" s="481">
        <v>3.4000000000000002E-2</v>
      </c>
      <c r="AK39" s="482">
        <f>100*AJ39/AJ$66</f>
        <v>4.5933531477978934E-2</v>
      </c>
      <c r="AL39" s="480">
        <v>1.4E-2</v>
      </c>
      <c r="AM39" s="482">
        <f t="shared" si="42"/>
        <v>2.2204951704230043E-2</v>
      </c>
      <c r="AN39" s="480">
        <v>1.7000000000000001E-2</v>
      </c>
      <c r="AO39" s="482">
        <v>3.0622905933638367E-2</v>
      </c>
      <c r="AP39" s="481">
        <v>1.2E-2</v>
      </c>
      <c r="AQ39" s="482">
        <f>100*AP39/AP$66</f>
        <v>2.0205762009799799E-2</v>
      </c>
      <c r="AR39" s="481">
        <v>7.0000000000000001E-3</v>
      </c>
      <c r="AS39" s="482">
        <f t="shared" ref="AS39:AS47" si="44">100*AR39/AR$66</f>
        <v>1.070975046281422E-2</v>
      </c>
      <c r="AT39" s="481">
        <v>1.0999999999999999E-2</v>
      </c>
      <c r="AU39" s="482">
        <f t="shared" ref="AU39:AU48" si="45">100*AT39/AT$66</f>
        <v>1.4306337707604465E-2</v>
      </c>
      <c r="AV39" s="481">
        <v>2.4E-2</v>
      </c>
      <c r="AW39" s="483" t="e">
        <f t="shared" ref="AW39:AW49" si="46">100*AV39/AV$66</f>
        <v>#VALUE!</v>
      </c>
      <c r="AX39" s="484">
        <v>8.9999999999999993E-3</v>
      </c>
      <c r="AY39" s="485">
        <f t="shared" ref="AY39:AY51" si="47">100*AX39/AX$66</f>
        <v>1.5614156835530878E-2</v>
      </c>
      <c r="AZ39" s="484">
        <v>1.2E-2</v>
      </c>
      <c r="BA39" s="485">
        <f t="shared" ref="BA39:BA51" si="48">100*AZ39/AZ$66</f>
        <v>1.4736221632773348E-2</v>
      </c>
      <c r="BB39" s="484" t="e">
        <f>SUMIF('[2]ST 7'!$B$6:$B$80,$A39,'[2]ST 7'!$AO$6:$AO$80)</f>
        <v>#VALUE!</v>
      </c>
      <c r="BC39" s="486" t="e">
        <f t="shared" ref="BC39:BC51" si="49">100*BB39/BB$66</f>
        <v>#VALUE!</v>
      </c>
    </row>
    <row r="40" spans="1:55" s="313" customFormat="1" ht="13.15" hidden="1" customHeight="1">
      <c r="A40" s="536" t="s">
        <v>75</v>
      </c>
      <c r="B40" s="487"/>
      <c r="C40" s="488">
        <f>100*B40/B$66</f>
        <v>0</v>
      </c>
      <c r="D40" s="489"/>
      <c r="E40" s="488">
        <f>100*D40/D$66</f>
        <v>0</v>
      </c>
      <c r="F40" s="489"/>
      <c r="G40" s="488">
        <f>100*F40/F$66</f>
        <v>0</v>
      </c>
      <c r="H40" s="489"/>
      <c r="I40" s="488">
        <f>100*H40/H$66</f>
        <v>0</v>
      </c>
      <c r="J40" s="489"/>
      <c r="K40" s="488">
        <f>100*J40/J$66</f>
        <v>0</v>
      </c>
      <c r="L40" s="489"/>
      <c r="M40" s="488">
        <f>100*L40/L$66</f>
        <v>0</v>
      </c>
      <c r="N40" s="489"/>
      <c r="O40" s="488">
        <f>100*N40/N$66</f>
        <v>0</v>
      </c>
      <c r="P40" s="489"/>
      <c r="Q40" s="488">
        <f>100*P40/P$66</f>
        <v>0</v>
      </c>
      <c r="R40" s="490"/>
      <c r="S40" s="488">
        <f>100*R40/R$66</f>
        <v>0</v>
      </c>
      <c r="T40" s="490"/>
      <c r="U40" s="488"/>
      <c r="V40" s="490"/>
      <c r="W40" s="488"/>
      <c r="X40" s="490"/>
      <c r="Y40" s="488"/>
      <c r="Z40" s="492"/>
      <c r="AA40" s="488"/>
      <c r="AB40" s="492"/>
      <c r="AC40" s="488"/>
      <c r="AD40" s="520"/>
      <c r="AE40" s="520"/>
      <c r="AF40" s="492"/>
      <c r="AG40" s="493"/>
      <c r="AH40" s="492"/>
      <c r="AI40" s="493"/>
      <c r="AJ40" s="492"/>
      <c r="AK40" s="493"/>
      <c r="AL40" s="491">
        <v>0</v>
      </c>
      <c r="AM40" s="493">
        <f t="shared" si="42"/>
        <v>0</v>
      </c>
      <c r="AN40" s="491">
        <v>0</v>
      </c>
      <c r="AO40" s="493">
        <v>0</v>
      </c>
      <c r="AP40" s="492">
        <v>0</v>
      </c>
      <c r="AQ40" s="493">
        <f>100*AP40/AP$66</f>
        <v>0</v>
      </c>
      <c r="AR40" s="492">
        <v>0</v>
      </c>
      <c r="AS40" s="493">
        <f t="shared" si="44"/>
        <v>0</v>
      </c>
      <c r="AT40" s="492">
        <v>0</v>
      </c>
      <c r="AU40" s="493">
        <f t="shared" si="45"/>
        <v>0</v>
      </c>
      <c r="AV40" s="492" t="e">
        <f>SUMIF('[2]ST 7'!$B$6:$B$80,$A40,'[2]ST 7'!$AF$6:$AF$80)</f>
        <v>#VALUE!</v>
      </c>
      <c r="AW40" s="494" t="e">
        <f t="shared" si="46"/>
        <v>#VALUE!</v>
      </c>
      <c r="AX40" s="495">
        <v>0</v>
      </c>
      <c r="AY40" s="496">
        <f t="shared" si="47"/>
        <v>0</v>
      </c>
      <c r="AZ40" s="495">
        <v>0</v>
      </c>
      <c r="BA40" s="496">
        <f t="shared" si="48"/>
        <v>0</v>
      </c>
      <c r="BB40" s="495" t="e">
        <f>SUMIF('[2]ST 7'!$B$6:$B$80,$A40,'[2]ST 7'!$AO$6:$AO$80)</f>
        <v>#VALUE!</v>
      </c>
      <c r="BC40" s="497" t="e">
        <f t="shared" si="49"/>
        <v>#VALUE!</v>
      </c>
    </row>
    <row r="41" spans="1:55" s="313" customFormat="1" ht="13.9" customHeight="1">
      <c r="A41" s="350" t="s">
        <v>122</v>
      </c>
      <c r="B41" s="487"/>
      <c r="C41" s="488">
        <f>100*B41/B$66</f>
        <v>0</v>
      </c>
      <c r="D41" s="489"/>
      <c r="E41" s="488">
        <f>100*D41/D$66</f>
        <v>0</v>
      </c>
      <c r="F41" s="489"/>
      <c r="G41" s="488">
        <f>100*F41/F$66</f>
        <v>0</v>
      </c>
      <c r="H41" s="489"/>
      <c r="I41" s="488">
        <f>100*H41/H$66</f>
        <v>0</v>
      </c>
      <c r="J41" s="489"/>
      <c r="K41" s="488">
        <f>100*J41/J$66</f>
        <v>0</v>
      </c>
      <c r="L41" s="489"/>
      <c r="M41" s="488">
        <f>100*L41/L$66</f>
        <v>0</v>
      </c>
      <c r="N41" s="489"/>
      <c r="O41" s="488">
        <f>100*N41/N$66</f>
        <v>0</v>
      </c>
      <c r="P41" s="489"/>
      <c r="Q41" s="488">
        <f>100*P41/P$66</f>
        <v>0</v>
      </c>
      <c r="R41" s="490"/>
      <c r="S41" s="488">
        <f>100*R41/R$66</f>
        <v>0</v>
      </c>
      <c r="T41" s="490">
        <v>8.0000000000000002E-3</v>
      </c>
      <c r="U41" s="488">
        <f>100*T41/T$66</f>
        <v>3.7574562021511437E-2</v>
      </c>
      <c r="V41" s="490">
        <v>4.1000000000000002E-2</v>
      </c>
      <c r="W41" s="488">
        <f>100*V41/V$66</f>
        <v>0.17111138934101247</v>
      </c>
      <c r="X41" s="490">
        <v>5.5E-2</v>
      </c>
      <c r="Y41" s="488">
        <f>100*X41/X$66</f>
        <v>0.16030311862430779</v>
      </c>
      <c r="Z41" s="492" t="e">
        <f>SUMIF('[1]ST 7'!B$6:B$59,A41,'[1]ST 7'!AJ$6:AJ$60)</f>
        <v>#VALUE!</v>
      </c>
      <c r="AA41" s="488" t="e">
        <f>100*Z41/Z$66</f>
        <v>#VALUE!</v>
      </c>
      <c r="AB41" s="492">
        <v>7.0000000000000001E-3</v>
      </c>
      <c r="AC41" s="488">
        <f>100*AB41/AB$66</f>
        <v>1.4977426878062351E-2</v>
      </c>
      <c r="AD41" s="491">
        <v>7.4999999999999997E-2</v>
      </c>
      <c r="AE41" s="488">
        <f>100*AD41/AD$66</f>
        <v>0.15897240239094493</v>
      </c>
      <c r="AF41" s="492">
        <v>6.6000000000000003E-2</v>
      </c>
      <c r="AG41" s="493">
        <f>100*AF41/AF$66</f>
        <v>0.10212923991086904</v>
      </c>
      <c r="AH41" s="492">
        <v>0.08</v>
      </c>
      <c r="AI41" s="493">
        <f>100*AH41/AH$66</f>
        <v>0.11084631158898187</v>
      </c>
      <c r="AJ41" s="492">
        <v>0.13900000000000001</v>
      </c>
      <c r="AK41" s="493">
        <f>100*AJ41/AJ$66</f>
        <v>0.1877870845717374</v>
      </c>
      <c r="AL41" s="491">
        <v>0.122</v>
      </c>
      <c r="AM41" s="493">
        <f t="shared" si="42"/>
        <v>0.19350029342257605</v>
      </c>
      <c r="AN41" s="491">
        <v>0.14399999999999999</v>
      </c>
      <c r="AO41" s="493">
        <v>0.25939402673199552</v>
      </c>
      <c r="AP41" s="492">
        <v>8.0000000000000002E-3</v>
      </c>
      <c r="AQ41" s="493">
        <f>100*AP41/AP$66</f>
        <v>1.34705080065332E-2</v>
      </c>
      <c r="AR41" s="492">
        <v>5.7000000000000002E-2</v>
      </c>
      <c r="AS41" s="493">
        <f t="shared" si="44"/>
        <v>8.7207968054344345E-2</v>
      </c>
      <c r="AT41" s="492">
        <v>0.29099999999999998</v>
      </c>
      <c r="AU41" s="493">
        <f t="shared" si="45"/>
        <v>0.37846766117389996</v>
      </c>
      <c r="AV41" s="492">
        <f>0.201+0.024+0.232</f>
        <v>0.45700000000000002</v>
      </c>
      <c r="AW41" s="494" t="e">
        <f t="shared" si="46"/>
        <v>#VALUE!</v>
      </c>
      <c r="AX41" s="495">
        <v>0.31900000000000001</v>
      </c>
      <c r="AY41" s="496">
        <f t="shared" si="47"/>
        <v>0.55343511450381677</v>
      </c>
      <c r="AZ41" s="495">
        <v>0.14100000000000001</v>
      </c>
      <c r="BA41" s="496">
        <f t="shared" si="48"/>
        <v>0.17315060418508688</v>
      </c>
      <c r="BB41" s="495" t="e">
        <f>SUMIF('[2]ST 7'!$B$6:$B$80,$A41,'[2]ST 7'!$AO$6:$AO$80)</f>
        <v>#VALUE!</v>
      </c>
      <c r="BC41" s="497" t="e">
        <f t="shared" si="49"/>
        <v>#VALUE!</v>
      </c>
    </row>
    <row r="42" spans="1:55" s="313" customFormat="1" ht="13.9" customHeight="1">
      <c r="A42" s="350" t="s">
        <v>142</v>
      </c>
      <c r="B42" s="487"/>
      <c r="C42" s="488"/>
      <c r="D42" s="489"/>
      <c r="E42" s="488"/>
      <c r="F42" s="489"/>
      <c r="G42" s="488"/>
      <c r="H42" s="489"/>
      <c r="I42" s="488"/>
      <c r="J42" s="489"/>
      <c r="K42" s="488"/>
      <c r="L42" s="489"/>
      <c r="M42" s="488"/>
      <c r="N42" s="489"/>
      <c r="O42" s="488"/>
      <c r="P42" s="489"/>
      <c r="Q42" s="488"/>
      <c r="R42" s="490"/>
      <c r="S42" s="488"/>
      <c r="T42" s="490"/>
      <c r="U42" s="488"/>
      <c r="V42" s="490"/>
      <c r="W42" s="488"/>
      <c r="X42" s="490"/>
      <c r="Y42" s="488"/>
      <c r="Z42" s="526"/>
      <c r="AA42" s="488"/>
      <c r="AB42" s="526"/>
      <c r="AC42" s="488"/>
      <c r="AD42" s="491">
        <v>3.0000000000000001E-3</v>
      </c>
      <c r="AE42" s="488">
        <f>100*AD42/AD$66</f>
        <v>6.3588960956377965E-3</v>
      </c>
      <c r="AF42" s="492">
        <v>6.0000000000000001E-3</v>
      </c>
      <c r="AG42" s="493">
        <f>100*AF42/AF$66</f>
        <v>9.2844763555335486E-3</v>
      </c>
      <c r="AH42" s="492">
        <v>1.9E-2</v>
      </c>
      <c r="AI42" s="493">
        <f>100*AH42/AH$66</f>
        <v>2.632599900238319E-2</v>
      </c>
      <c r="AJ42" s="492">
        <v>1.4999999999999999E-2</v>
      </c>
      <c r="AK42" s="493">
        <f>100*AJ42/AJ$66</f>
        <v>2.0264793299108349E-2</v>
      </c>
      <c r="AL42" s="491">
        <v>0.02</v>
      </c>
      <c r="AM42" s="493">
        <f t="shared" si="42"/>
        <v>3.1721359577471485E-2</v>
      </c>
      <c r="AN42" s="491">
        <v>8.9999999999999993E-3</v>
      </c>
      <c r="AO42" s="493">
        <v>1.621212667074972E-2</v>
      </c>
      <c r="AP42" s="492">
        <v>8.9999999999999993E-3</v>
      </c>
      <c r="AQ42" s="493">
        <f>100*AP42/AP$66</f>
        <v>1.5154321507349848E-2</v>
      </c>
      <c r="AR42" s="492">
        <v>1.0999999999999999E-2</v>
      </c>
      <c r="AS42" s="493">
        <f t="shared" si="44"/>
        <v>1.6829607870136626E-2</v>
      </c>
      <c r="AT42" s="492">
        <v>8.0000000000000002E-3</v>
      </c>
      <c r="AU42" s="493">
        <f t="shared" si="45"/>
        <v>1.0404609241894158E-2</v>
      </c>
      <c r="AV42" s="492">
        <v>1.7000000000000001E-2</v>
      </c>
      <c r="AW42" s="494" t="e">
        <f t="shared" si="46"/>
        <v>#VALUE!</v>
      </c>
      <c r="AX42" s="495">
        <v>1.7000000000000001E-2</v>
      </c>
      <c r="AY42" s="496">
        <f t="shared" si="47"/>
        <v>2.9493407356002775E-2</v>
      </c>
      <c r="AZ42" s="495">
        <v>6.3E-2</v>
      </c>
      <c r="BA42" s="496">
        <f t="shared" si="48"/>
        <v>7.7365163572060081E-2</v>
      </c>
      <c r="BB42" s="495" t="e">
        <f>SUMIF('[2]ST 7'!$B$6:$B$80,$A42,'[2]ST 7'!$AO$6:$AO$80)</f>
        <v>#VALUE!</v>
      </c>
      <c r="BC42" s="497" t="e">
        <f t="shared" si="49"/>
        <v>#VALUE!</v>
      </c>
    </row>
    <row r="43" spans="1:55" s="313" customFormat="1" ht="13.9" customHeight="1">
      <c r="A43" s="350" t="s">
        <v>247</v>
      </c>
      <c r="B43" s="487"/>
      <c r="C43" s="488"/>
      <c r="D43" s="489"/>
      <c r="E43" s="488"/>
      <c r="F43" s="489"/>
      <c r="G43" s="488"/>
      <c r="H43" s="489"/>
      <c r="I43" s="488"/>
      <c r="J43" s="489"/>
      <c r="K43" s="488"/>
      <c r="L43" s="489"/>
      <c r="M43" s="488"/>
      <c r="N43" s="489"/>
      <c r="O43" s="488"/>
      <c r="P43" s="489"/>
      <c r="Q43" s="488"/>
      <c r="R43" s="490"/>
      <c r="S43" s="488"/>
      <c r="T43" s="490"/>
      <c r="U43" s="488"/>
      <c r="V43" s="490"/>
      <c r="W43" s="488"/>
      <c r="X43" s="490"/>
      <c r="Y43" s="488"/>
      <c r="Z43" s="526"/>
      <c r="AA43" s="488"/>
      <c r="AB43" s="526"/>
      <c r="AC43" s="488"/>
      <c r="AD43" s="491"/>
      <c r="AE43" s="488"/>
      <c r="AF43" s="492"/>
      <c r="AG43" s="493"/>
      <c r="AH43" s="492"/>
      <c r="AI43" s="493"/>
      <c r="AJ43" s="492"/>
      <c r="AK43" s="493"/>
      <c r="AL43" s="491">
        <v>0.14399999999999999</v>
      </c>
      <c r="AM43" s="493">
        <f t="shared" si="42"/>
        <v>0.22839378895779469</v>
      </c>
      <c r="AN43" s="491">
        <v>0</v>
      </c>
      <c r="AO43" s="493">
        <v>0</v>
      </c>
      <c r="AP43" s="492">
        <v>0.14499999999999999</v>
      </c>
      <c r="AQ43" s="493">
        <f>100*AP43/AP$66</f>
        <v>0.24415295761841421</v>
      </c>
      <c r="AR43" s="492">
        <v>0.32600000000000001</v>
      </c>
      <c r="AS43" s="493">
        <f t="shared" si="44"/>
        <v>0.49876837869677648</v>
      </c>
      <c r="AT43" s="492">
        <v>0.222</v>
      </c>
      <c r="AU43" s="493">
        <f t="shared" si="45"/>
        <v>0.28872790646256286</v>
      </c>
      <c r="AV43" s="492">
        <v>0.26400000000000001</v>
      </c>
      <c r="AW43" s="494" t="e">
        <f t="shared" si="46"/>
        <v>#VALUE!</v>
      </c>
      <c r="AX43" s="495">
        <v>0.26400000000000001</v>
      </c>
      <c r="AY43" s="496">
        <f t="shared" si="47"/>
        <v>0.4580152671755725</v>
      </c>
      <c r="AZ43" s="495">
        <v>0.18099999999999999</v>
      </c>
      <c r="BA43" s="496">
        <f>100*AZ43/AZ$66</f>
        <v>0.22227134296099799</v>
      </c>
      <c r="BB43" s="495" t="e">
        <f>SUMIF('[2]ST 7'!$B$6:$B$80,$A43,'[2]ST 7'!$AO$6:$AO$80)</f>
        <v>#VALUE!</v>
      </c>
      <c r="BC43" s="497" t="e">
        <f t="shared" si="49"/>
        <v>#VALUE!</v>
      </c>
    </row>
    <row r="44" spans="1:55" s="313" customFormat="1" ht="13.9" customHeight="1">
      <c r="A44" s="350" t="s">
        <v>295</v>
      </c>
      <c r="B44" s="487"/>
      <c r="C44" s="488"/>
      <c r="D44" s="489"/>
      <c r="E44" s="488"/>
      <c r="F44" s="489"/>
      <c r="G44" s="488"/>
      <c r="H44" s="489"/>
      <c r="I44" s="488"/>
      <c r="J44" s="489"/>
      <c r="K44" s="488"/>
      <c r="L44" s="489"/>
      <c r="M44" s="488"/>
      <c r="N44" s="489"/>
      <c r="O44" s="488"/>
      <c r="P44" s="489"/>
      <c r="Q44" s="488"/>
      <c r="R44" s="490"/>
      <c r="S44" s="488"/>
      <c r="T44" s="490"/>
      <c r="U44" s="488"/>
      <c r="V44" s="490"/>
      <c r="W44" s="488"/>
      <c r="X44" s="490"/>
      <c r="Y44" s="488"/>
      <c r="Z44" s="492"/>
      <c r="AA44" s="488"/>
      <c r="AB44" s="492"/>
      <c r="AC44" s="488"/>
      <c r="AD44" s="520"/>
      <c r="AE44" s="520"/>
      <c r="AF44" s="492"/>
      <c r="AG44" s="493"/>
      <c r="AH44" s="492"/>
      <c r="AI44" s="493"/>
      <c r="AJ44" s="492"/>
      <c r="AK44" s="493"/>
      <c r="AL44" s="491"/>
      <c r="AM44" s="493"/>
      <c r="AN44" s="491"/>
      <c r="AO44" s="493"/>
      <c r="AP44" s="492"/>
      <c r="AQ44" s="493"/>
      <c r="AR44" s="492">
        <v>0.13600000000000001</v>
      </c>
      <c r="AS44" s="493">
        <f t="shared" si="44"/>
        <v>0.20807515184896197</v>
      </c>
      <c r="AT44" s="492">
        <v>6.0000000000000001E-3</v>
      </c>
      <c r="AU44" s="493">
        <f t="shared" si="45"/>
        <v>7.803456931420618E-3</v>
      </c>
      <c r="AV44" s="492">
        <v>0</v>
      </c>
      <c r="AW44" s="494" t="e">
        <f t="shared" si="46"/>
        <v>#VALUE!</v>
      </c>
      <c r="AX44" s="495">
        <v>0</v>
      </c>
      <c r="AY44" s="496">
        <f t="shared" si="47"/>
        <v>0</v>
      </c>
      <c r="AZ44" s="495">
        <v>0</v>
      </c>
      <c r="BA44" s="496">
        <f t="shared" si="48"/>
        <v>0</v>
      </c>
      <c r="BB44" s="495" t="e">
        <f>SUMIF('[2]ST 7'!$B$6:$B$80,$A44,'[2]ST 7'!$AO$6:$AO$80)</f>
        <v>#VALUE!</v>
      </c>
      <c r="BC44" s="497" t="e">
        <f t="shared" si="49"/>
        <v>#VALUE!</v>
      </c>
    </row>
    <row r="45" spans="1:55" s="313" customFormat="1" ht="13.9" customHeight="1">
      <c r="A45" s="350" t="s">
        <v>296</v>
      </c>
      <c r="B45" s="487"/>
      <c r="C45" s="488"/>
      <c r="D45" s="489"/>
      <c r="E45" s="488"/>
      <c r="F45" s="489"/>
      <c r="G45" s="488"/>
      <c r="H45" s="489"/>
      <c r="I45" s="488"/>
      <c r="J45" s="489"/>
      <c r="K45" s="488"/>
      <c r="L45" s="489"/>
      <c r="M45" s="488"/>
      <c r="N45" s="489"/>
      <c r="O45" s="488"/>
      <c r="P45" s="489"/>
      <c r="Q45" s="488"/>
      <c r="R45" s="490"/>
      <c r="S45" s="488"/>
      <c r="T45" s="490"/>
      <c r="U45" s="488"/>
      <c r="V45" s="490"/>
      <c r="W45" s="488"/>
      <c r="X45" s="490"/>
      <c r="Y45" s="488"/>
      <c r="Z45" s="492"/>
      <c r="AA45" s="488"/>
      <c r="AB45" s="492"/>
      <c r="AC45" s="488"/>
      <c r="AD45" s="520"/>
      <c r="AE45" s="520"/>
      <c r="AF45" s="492"/>
      <c r="AG45" s="493"/>
      <c r="AH45" s="492"/>
      <c r="AI45" s="493"/>
      <c r="AJ45" s="492"/>
      <c r="AK45" s="493"/>
      <c r="AL45" s="491"/>
      <c r="AM45" s="493"/>
      <c r="AN45" s="491"/>
      <c r="AO45" s="493"/>
      <c r="AP45" s="492"/>
      <c r="AQ45" s="493"/>
      <c r="AR45" s="492">
        <v>4.1000000000000002E-2</v>
      </c>
      <c r="AS45" s="493">
        <f t="shared" si="44"/>
        <v>6.2728538425054714E-2</v>
      </c>
      <c r="AT45" s="492">
        <v>0</v>
      </c>
      <c r="AU45" s="493">
        <f t="shared" si="45"/>
        <v>0</v>
      </c>
      <c r="AV45" s="492">
        <v>0</v>
      </c>
      <c r="AW45" s="494" t="e">
        <f t="shared" si="46"/>
        <v>#VALUE!</v>
      </c>
      <c r="AX45" s="495">
        <v>0.10299999999999999</v>
      </c>
      <c r="AY45" s="496">
        <f t="shared" si="47"/>
        <v>0.1786953504510756</v>
      </c>
      <c r="AZ45" s="495">
        <v>0.23</v>
      </c>
      <c r="BA45" s="496">
        <f t="shared" si="48"/>
        <v>0.2824442479614892</v>
      </c>
      <c r="BB45" s="495" t="e">
        <f>SUMIF('[2]ST 7'!$B$6:$B$80,$A45,'[2]ST 7'!$AO$6:$AO$80)</f>
        <v>#VALUE!</v>
      </c>
      <c r="BC45" s="497" t="e">
        <f t="shared" si="49"/>
        <v>#VALUE!</v>
      </c>
    </row>
    <row r="46" spans="1:55" s="313" customFormat="1" ht="13.9" customHeight="1">
      <c r="A46" s="350" t="s">
        <v>298</v>
      </c>
      <c r="B46" s="487"/>
      <c r="C46" s="488"/>
      <c r="D46" s="489"/>
      <c r="E46" s="488"/>
      <c r="F46" s="489"/>
      <c r="G46" s="488"/>
      <c r="H46" s="489"/>
      <c r="I46" s="488"/>
      <c r="J46" s="489"/>
      <c r="K46" s="488"/>
      <c r="L46" s="489"/>
      <c r="M46" s="488"/>
      <c r="N46" s="489"/>
      <c r="O46" s="488"/>
      <c r="P46" s="489"/>
      <c r="Q46" s="488"/>
      <c r="R46" s="490"/>
      <c r="S46" s="488"/>
      <c r="T46" s="490"/>
      <c r="U46" s="488"/>
      <c r="V46" s="490"/>
      <c r="W46" s="488"/>
      <c r="X46" s="490"/>
      <c r="Y46" s="488"/>
      <c r="Z46" s="492"/>
      <c r="AA46" s="488"/>
      <c r="AB46" s="492"/>
      <c r="AC46" s="488"/>
      <c r="AD46" s="520"/>
      <c r="AE46" s="520"/>
      <c r="AF46" s="492"/>
      <c r="AG46" s="493"/>
      <c r="AH46" s="492"/>
      <c r="AI46" s="493"/>
      <c r="AJ46" s="492"/>
      <c r="AK46" s="493"/>
      <c r="AL46" s="491"/>
      <c r="AM46" s="493"/>
      <c r="AN46" s="491"/>
      <c r="AO46" s="493"/>
      <c r="AP46" s="492"/>
      <c r="AQ46" s="493"/>
      <c r="AR46" s="492">
        <v>3.0000000000000001E-3</v>
      </c>
      <c r="AS46" s="493">
        <f t="shared" si="44"/>
        <v>4.5898930554918076E-3</v>
      </c>
      <c r="AT46" s="492">
        <v>0.125</v>
      </c>
      <c r="AU46" s="493">
        <f t="shared" si="45"/>
        <v>0.1625720194045962</v>
      </c>
      <c r="AV46" s="492">
        <v>0.24</v>
      </c>
      <c r="AW46" s="494" t="e">
        <f t="shared" si="46"/>
        <v>#VALUE!</v>
      </c>
      <c r="AX46" s="495">
        <v>0.14799999999999999</v>
      </c>
      <c r="AY46" s="496">
        <f t="shared" si="47"/>
        <v>0.25676613462872999</v>
      </c>
      <c r="AZ46" s="495">
        <v>0.219</v>
      </c>
      <c r="BA46" s="496">
        <f t="shared" si="48"/>
        <v>0.26893604479811362</v>
      </c>
      <c r="BB46" s="495" t="e">
        <f>SUMIF('[2]ST 7'!$B$6:$B$80,$A46,'[2]ST 7'!$AO$6:$AO$80)</f>
        <v>#VALUE!</v>
      </c>
      <c r="BC46" s="497" t="e">
        <f t="shared" si="49"/>
        <v>#VALUE!</v>
      </c>
    </row>
    <row r="47" spans="1:55" s="313" customFormat="1" ht="13.9" customHeight="1">
      <c r="A47" s="521" t="s">
        <v>297</v>
      </c>
      <c r="B47" s="487"/>
      <c r="C47" s="488"/>
      <c r="D47" s="489"/>
      <c r="E47" s="488"/>
      <c r="F47" s="489"/>
      <c r="G47" s="488"/>
      <c r="H47" s="489"/>
      <c r="I47" s="488"/>
      <c r="J47" s="489"/>
      <c r="K47" s="488"/>
      <c r="L47" s="489"/>
      <c r="M47" s="488"/>
      <c r="N47" s="489"/>
      <c r="O47" s="488"/>
      <c r="P47" s="489"/>
      <c r="Q47" s="488"/>
      <c r="R47" s="490"/>
      <c r="S47" s="488"/>
      <c r="T47" s="490"/>
      <c r="U47" s="488"/>
      <c r="V47" s="490"/>
      <c r="W47" s="488"/>
      <c r="X47" s="490"/>
      <c r="Y47" s="488"/>
      <c r="Z47" s="490"/>
      <c r="AA47" s="488"/>
      <c r="AB47" s="490"/>
      <c r="AC47" s="488"/>
      <c r="AD47" s="491"/>
      <c r="AE47" s="488"/>
      <c r="AF47" s="492"/>
      <c r="AG47" s="493"/>
      <c r="AH47" s="492"/>
      <c r="AI47" s="493"/>
      <c r="AJ47" s="492"/>
      <c r="AK47" s="493"/>
      <c r="AL47" s="491"/>
      <c r="AM47" s="493"/>
      <c r="AN47" s="491"/>
      <c r="AO47" s="493"/>
      <c r="AP47" s="492"/>
      <c r="AQ47" s="493"/>
      <c r="AR47" s="492">
        <v>4.0000000000000001E-3</v>
      </c>
      <c r="AS47" s="493">
        <f t="shared" si="44"/>
        <v>6.1198574073224104E-3</v>
      </c>
      <c r="AT47" s="492">
        <v>1E-3</v>
      </c>
      <c r="AU47" s="493">
        <f t="shared" si="45"/>
        <v>1.3005761552367697E-3</v>
      </c>
      <c r="AV47" s="492" t="e">
        <f>SUMIF('[2]ST 7'!$B$6:$B$80,$A47,'[2]ST 7'!$AF$6:$AF$80)</f>
        <v>#VALUE!</v>
      </c>
      <c r="AW47" s="494" t="e">
        <f t="shared" si="46"/>
        <v>#VALUE!</v>
      </c>
      <c r="AX47" s="495">
        <v>1E-3</v>
      </c>
      <c r="AY47" s="496">
        <f t="shared" si="47"/>
        <v>1.7349063150589867E-3</v>
      </c>
      <c r="AZ47" s="495">
        <v>1E-3</v>
      </c>
      <c r="BA47" s="496">
        <f t="shared" si="48"/>
        <v>1.2280184693977791E-3</v>
      </c>
      <c r="BB47" s="495" t="e">
        <f>SUMIF('[2]ST 7'!$B$6:$B$80,$A47,'[2]ST 7'!$AO$6:$AO$80)</f>
        <v>#VALUE!</v>
      </c>
      <c r="BC47" s="497" t="e">
        <f t="shared" si="49"/>
        <v>#VALUE!</v>
      </c>
    </row>
    <row r="48" spans="1:55" s="313" customFormat="1" ht="13.9" customHeight="1">
      <c r="A48" s="525" t="s">
        <v>305</v>
      </c>
      <c r="B48" s="487"/>
      <c r="C48" s="488"/>
      <c r="D48" s="489"/>
      <c r="E48" s="488"/>
      <c r="F48" s="489"/>
      <c r="G48" s="488"/>
      <c r="H48" s="489"/>
      <c r="I48" s="488"/>
      <c r="J48" s="489"/>
      <c r="K48" s="488"/>
      <c r="L48" s="489"/>
      <c r="M48" s="488"/>
      <c r="N48" s="489"/>
      <c r="O48" s="488"/>
      <c r="P48" s="489"/>
      <c r="Q48" s="488"/>
      <c r="R48" s="490"/>
      <c r="S48" s="488"/>
      <c r="T48" s="490"/>
      <c r="U48" s="488"/>
      <c r="V48" s="490"/>
      <c r="W48" s="488"/>
      <c r="X48" s="490"/>
      <c r="Y48" s="488"/>
      <c r="Z48" s="490"/>
      <c r="AA48" s="488"/>
      <c r="AB48" s="490"/>
      <c r="AC48" s="488"/>
      <c r="AD48" s="491"/>
      <c r="AE48" s="488"/>
      <c r="AF48" s="492"/>
      <c r="AG48" s="493"/>
      <c r="AH48" s="492"/>
      <c r="AI48" s="493"/>
      <c r="AJ48" s="492"/>
      <c r="AK48" s="493"/>
      <c r="AL48" s="491"/>
      <c r="AM48" s="493"/>
      <c r="AN48" s="491"/>
      <c r="AO48" s="493"/>
      <c r="AP48" s="492"/>
      <c r="AQ48" s="493"/>
      <c r="AR48" s="492"/>
      <c r="AS48" s="493"/>
      <c r="AT48" s="492">
        <v>0.01</v>
      </c>
      <c r="AU48" s="493">
        <f t="shared" si="45"/>
        <v>1.3005761552367698E-2</v>
      </c>
      <c r="AV48" s="492">
        <v>0</v>
      </c>
      <c r="AW48" s="494" t="e">
        <f t="shared" si="46"/>
        <v>#VALUE!</v>
      </c>
      <c r="AX48" s="495">
        <v>1E-3</v>
      </c>
      <c r="AY48" s="496">
        <f t="shared" si="47"/>
        <v>1.7349063150589867E-3</v>
      </c>
      <c r="AZ48" s="495">
        <v>1E-3</v>
      </c>
      <c r="BA48" s="496">
        <f t="shared" si="48"/>
        <v>1.2280184693977791E-3</v>
      </c>
      <c r="BB48" s="495" t="e">
        <f>SUMIF('[2]ST 7'!$B$6:$B$80,$A48,'[2]ST 7'!$AO$6:$AO$80)</f>
        <v>#VALUE!</v>
      </c>
      <c r="BC48" s="497" t="e">
        <f t="shared" si="49"/>
        <v>#VALUE!</v>
      </c>
    </row>
    <row r="49" spans="1:55" s="313" customFormat="1" ht="13.9" customHeight="1">
      <c r="A49" s="350" t="s">
        <v>227</v>
      </c>
      <c r="B49" s="487"/>
      <c r="C49" s="488"/>
      <c r="D49" s="489"/>
      <c r="E49" s="488"/>
      <c r="F49" s="489"/>
      <c r="G49" s="488"/>
      <c r="H49" s="489"/>
      <c r="I49" s="488"/>
      <c r="J49" s="489"/>
      <c r="K49" s="488"/>
      <c r="L49" s="489"/>
      <c r="M49" s="488"/>
      <c r="N49" s="489"/>
      <c r="O49" s="488"/>
      <c r="P49" s="489"/>
      <c r="Q49" s="488"/>
      <c r="R49" s="490"/>
      <c r="S49" s="488"/>
      <c r="T49" s="490"/>
      <c r="U49" s="488"/>
      <c r="V49" s="490"/>
      <c r="W49" s="488"/>
      <c r="X49" s="490"/>
      <c r="Y49" s="488"/>
      <c r="Z49" s="526"/>
      <c r="AA49" s="488"/>
      <c r="AB49" s="526"/>
      <c r="AC49" s="488"/>
      <c r="AD49" s="491"/>
      <c r="AE49" s="488"/>
      <c r="AF49" s="492"/>
      <c r="AG49" s="493"/>
      <c r="AH49" s="492"/>
      <c r="AI49" s="493"/>
      <c r="AJ49" s="492"/>
      <c r="AK49" s="493"/>
      <c r="AL49" s="491"/>
      <c r="AM49" s="493"/>
      <c r="AN49" s="491"/>
      <c r="AO49" s="493"/>
      <c r="AP49" s="492"/>
      <c r="AQ49" s="493"/>
      <c r="AR49" s="492"/>
      <c r="AS49" s="493"/>
      <c r="AT49" s="492"/>
      <c r="AU49" s="493"/>
      <c r="AV49" s="492">
        <v>2E-3</v>
      </c>
      <c r="AW49" s="494" t="e">
        <f t="shared" si="46"/>
        <v>#VALUE!</v>
      </c>
      <c r="AX49" s="495">
        <v>0</v>
      </c>
      <c r="AY49" s="496">
        <f t="shared" si="47"/>
        <v>0</v>
      </c>
      <c r="AZ49" s="495">
        <v>2E-3</v>
      </c>
      <c r="BA49" s="496">
        <f t="shared" si="48"/>
        <v>2.4560369387955582E-3</v>
      </c>
      <c r="BB49" s="495" t="e">
        <f>SUMIF('[2]ST 7'!$B$6:$B$80,$A49,'[2]ST 7'!$AO$6:$AO$80)</f>
        <v>#VALUE!</v>
      </c>
      <c r="BC49" s="497" t="e">
        <f t="shared" si="49"/>
        <v>#VALUE!</v>
      </c>
    </row>
    <row r="50" spans="1:55" s="313" customFormat="1" ht="13.9" customHeight="1">
      <c r="A50" s="350" t="s">
        <v>323</v>
      </c>
      <c r="B50" s="487"/>
      <c r="C50" s="488"/>
      <c r="D50" s="489"/>
      <c r="E50" s="488"/>
      <c r="F50" s="489"/>
      <c r="G50" s="488"/>
      <c r="H50" s="489"/>
      <c r="I50" s="488"/>
      <c r="J50" s="489"/>
      <c r="K50" s="488"/>
      <c r="L50" s="489"/>
      <c r="M50" s="488"/>
      <c r="N50" s="489"/>
      <c r="O50" s="488"/>
      <c r="P50" s="489"/>
      <c r="Q50" s="488"/>
      <c r="R50" s="490"/>
      <c r="S50" s="488"/>
      <c r="T50" s="490"/>
      <c r="U50" s="488"/>
      <c r="V50" s="490"/>
      <c r="W50" s="488"/>
      <c r="X50" s="490"/>
      <c r="Y50" s="488"/>
      <c r="Z50" s="526"/>
      <c r="AA50" s="488"/>
      <c r="AB50" s="526"/>
      <c r="AC50" s="488"/>
      <c r="AD50" s="491"/>
      <c r="AE50" s="488"/>
      <c r="AF50" s="492"/>
      <c r="AG50" s="493"/>
      <c r="AH50" s="492"/>
      <c r="AI50" s="493"/>
      <c r="AJ50" s="492"/>
      <c r="AK50" s="493"/>
      <c r="AL50" s="491"/>
      <c r="AM50" s="493"/>
      <c r="AN50" s="491"/>
      <c r="AO50" s="493"/>
      <c r="AP50" s="492"/>
      <c r="AQ50" s="493"/>
      <c r="AR50" s="492"/>
      <c r="AS50" s="493"/>
      <c r="AT50" s="492"/>
      <c r="AU50" s="493"/>
      <c r="AV50" s="492"/>
      <c r="AW50" s="494"/>
      <c r="AX50" s="495">
        <v>0</v>
      </c>
      <c r="AY50" s="496">
        <f t="shared" si="47"/>
        <v>0</v>
      </c>
      <c r="AZ50" s="495">
        <v>0</v>
      </c>
      <c r="BA50" s="496">
        <f t="shared" si="48"/>
        <v>0</v>
      </c>
      <c r="BB50" s="495" t="e">
        <f>SUMIF('[2]ST 7'!$B$6:$B$80,$A50,'[2]ST 7'!$AO$6:$AO$80)</f>
        <v>#VALUE!</v>
      </c>
      <c r="BC50" s="497" t="e">
        <f t="shared" si="49"/>
        <v>#VALUE!</v>
      </c>
    </row>
    <row r="51" spans="1:55" s="313" customFormat="1" ht="13.9" customHeight="1">
      <c r="A51" s="360" t="s">
        <v>324</v>
      </c>
      <c r="B51" s="499"/>
      <c r="C51" s="500"/>
      <c r="D51" s="501"/>
      <c r="E51" s="500"/>
      <c r="F51" s="501"/>
      <c r="G51" s="500"/>
      <c r="H51" s="501"/>
      <c r="I51" s="500"/>
      <c r="J51" s="501"/>
      <c r="K51" s="500"/>
      <c r="L51" s="501"/>
      <c r="M51" s="500"/>
      <c r="N51" s="501"/>
      <c r="O51" s="500"/>
      <c r="P51" s="501"/>
      <c r="Q51" s="500"/>
      <c r="R51" s="502"/>
      <c r="S51" s="500"/>
      <c r="T51" s="502"/>
      <c r="U51" s="500"/>
      <c r="V51" s="502"/>
      <c r="W51" s="500"/>
      <c r="X51" s="502"/>
      <c r="Y51" s="500"/>
      <c r="Z51" s="537"/>
      <c r="AA51" s="500"/>
      <c r="AB51" s="537"/>
      <c r="AC51" s="500"/>
      <c r="AD51" s="503"/>
      <c r="AE51" s="500"/>
      <c r="AF51" s="504"/>
      <c r="AG51" s="505"/>
      <c r="AH51" s="504"/>
      <c r="AI51" s="505"/>
      <c r="AJ51" s="504"/>
      <c r="AK51" s="505"/>
      <c r="AL51" s="503"/>
      <c r="AM51" s="505"/>
      <c r="AN51" s="503"/>
      <c r="AO51" s="505"/>
      <c r="AP51" s="504"/>
      <c r="AQ51" s="505"/>
      <c r="AR51" s="504"/>
      <c r="AS51" s="505"/>
      <c r="AT51" s="504"/>
      <c r="AU51" s="505"/>
      <c r="AV51" s="504"/>
      <c r="AW51" s="506"/>
      <c r="AX51" s="507">
        <v>0</v>
      </c>
      <c r="AY51" s="508">
        <f t="shared" si="47"/>
        <v>0</v>
      </c>
      <c r="AZ51" s="507">
        <v>1.4E-2</v>
      </c>
      <c r="BA51" s="508">
        <f t="shared" si="48"/>
        <v>1.7192258571568909E-2</v>
      </c>
      <c r="BB51" s="507" t="e">
        <f>SUMIF('[2]ST 7'!$B$6:$B$80,$A51,'[2]ST 7'!$AO$6:$AO$80)</f>
        <v>#VALUE!</v>
      </c>
      <c r="BC51" s="509" t="e">
        <f t="shared" si="49"/>
        <v>#VALUE!</v>
      </c>
    </row>
    <row r="52" spans="1:55" s="313" customFormat="1" ht="12.4" hidden="1" customHeight="1">
      <c r="A52" s="538" t="s">
        <v>93</v>
      </c>
      <c r="B52" s="530"/>
      <c r="C52" s="531">
        <f>100*B52/B$66</f>
        <v>0</v>
      </c>
      <c r="D52" s="530"/>
      <c r="E52" s="531">
        <f>100*D52/D$66</f>
        <v>0</v>
      </c>
      <c r="F52" s="530"/>
      <c r="G52" s="531">
        <f>100*F52/F$66</f>
        <v>0</v>
      </c>
      <c r="H52" s="530"/>
      <c r="I52" s="531">
        <f>100*H52/H$66</f>
        <v>0</v>
      </c>
      <c r="J52" s="530"/>
      <c r="K52" s="531">
        <f>100*J52/J$66</f>
        <v>0</v>
      </c>
      <c r="L52" s="530"/>
      <c r="M52" s="531">
        <f>100*L52/L$66</f>
        <v>0</v>
      </c>
      <c r="N52" s="530"/>
      <c r="O52" s="531">
        <f>100*N52/N$66</f>
        <v>0</v>
      </c>
      <c r="P52" s="530"/>
      <c r="Q52" s="531">
        <f>100*P52/P$66</f>
        <v>0</v>
      </c>
      <c r="R52" s="433">
        <v>8.0000000000000002E-3</v>
      </c>
      <c r="S52" s="531">
        <f>100*R52/R$66</f>
        <v>4.1228612657184083E-2</v>
      </c>
      <c r="T52" s="433">
        <v>4.4999999999999998E-2</v>
      </c>
      <c r="U52" s="531">
        <f>100*T52/T$66</f>
        <v>0.21135691137100182</v>
      </c>
      <c r="V52" s="433">
        <v>9.7000000000000003E-2</v>
      </c>
      <c r="W52" s="531">
        <f>100*V52/V$66</f>
        <v>0.40482450648971241</v>
      </c>
      <c r="X52" s="433">
        <v>0.158</v>
      </c>
      <c r="Y52" s="531">
        <f>100*X52/X$66</f>
        <v>0.46050714077528426</v>
      </c>
      <c r="Z52" s="337" t="e">
        <f>SUMIF('[1]ST 7'!B$6:B$59,A52,'[1]ST 7'!AJ$6:AJ$60)</f>
        <v>#VALUE!</v>
      </c>
      <c r="AA52" s="531" t="e">
        <f>100*Z52/Z$66</f>
        <v>#VALUE!</v>
      </c>
      <c r="AB52" s="337">
        <v>0.11700000000000001</v>
      </c>
      <c r="AC52" s="531">
        <f>100*AB52/AB$66</f>
        <v>0.25033699210475641</v>
      </c>
      <c r="AD52" s="532">
        <v>0.129</v>
      </c>
      <c r="AE52" s="531">
        <f t="shared" ref="AE52:AE59" si="50">100*AD52/AD$66</f>
        <v>0.27343253211242524</v>
      </c>
      <c r="AF52" s="337">
        <v>0.35699999999999998</v>
      </c>
      <c r="AG52" s="533">
        <f>100*AF52/AF$66</f>
        <v>0.5524263431542461</v>
      </c>
      <c r="AH52" s="337">
        <v>0.36299999999999999</v>
      </c>
      <c r="AI52" s="533">
        <f t="shared" ref="AI52:AI62" si="51">100*AH52/AH$66</f>
        <v>0.50296513883500515</v>
      </c>
      <c r="AJ52" s="534">
        <v>0.94099999999999995</v>
      </c>
      <c r="AK52" s="535">
        <f t="shared" ref="AK52:AK63" si="52">100*AJ52/AJ$66</f>
        <v>1.2712780329640638</v>
      </c>
      <c r="AL52" s="539">
        <v>0.84799999999999998</v>
      </c>
      <c r="AM52" s="535">
        <f t="shared" ref="AM52:AM66" si="53">100*AL52/AL$66</f>
        <v>1.3449856460847911</v>
      </c>
      <c r="AN52" s="539">
        <v>0.27800000000000002</v>
      </c>
      <c r="AO52" s="535">
        <v>0.50077457938538039</v>
      </c>
      <c r="AP52" s="337">
        <v>0</v>
      </c>
      <c r="AQ52" s="535">
        <f t="shared" ref="AQ52:AQ64" si="54">100*AP52/AP$66</f>
        <v>0</v>
      </c>
      <c r="AR52" s="534"/>
      <c r="AS52" s="535"/>
      <c r="AT52" s="534"/>
      <c r="AU52" s="535"/>
      <c r="AV52" s="534"/>
      <c r="AW52" s="533"/>
      <c r="AX52" s="534"/>
      <c r="AY52" s="535"/>
      <c r="AZ52" s="534"/>
      <c r="BA52" s="535"/>
      <c r="BB52" s="534"/>
      <c r="BC52" s="540"/>
    </row>
    <row r="53" spans="1:55" s="313" customFormat="1" ht="12.4" hidden="1" customHeight="1">
      <c r="A53" s="538" t="s">
        <v>48</v>
      </c>
      <c r="B53" s="530"/>
      <c r="C53" s="531">
        <f>100*B53/B$66</f>
        <v>0</v>
      </c>
      <c r="D53" s="530"/>
      <c r="E53" s="531">
        <f>100*D53/D$66</f>
        <v>0</v>
      </c>
      <c r="F53" s="530"/>
      <c r="G53" s="531">
        <f>100*F53/F$66</f>
        <v>0</v>
      </c>
      <c r="H53" s="530"/>
      <c r="I53" s="531">
        <f>100*H53/H$66</f>
        <v>0</v>
      </c>
      <c r="J53" s="530"/>
      <c r="K53" s="531">
        <f>100*J53/J$66</f>
        <v>0</v>
      </c>
      <c r="L53" s="530"/>
      <c r="M53" s="531">
        <f>100*L53/L$66</f>
        <v>0</v>
      </c>
      <c r="N53" s="530"/>
      <c r="O53" s="531">
        <f>100*N53/N$66</f>
        <v>0</v>
      </c>
      <c r="P53" s="530"/>
      <c r="Q53" s="531">
        <f>100*P53/P$66</f>
        <v>0</v>
      </c>
      <c r="R53" s="433">
        <v>5.0000000000000001E-3</v>
      </c>
      <c r="S53" s="531">
        <f>100*R53/R$66</f>
        <v>2.5767882910740048E-2</v>
      </c>
      <c r="T53" s="433">
        <v>4.8000000000000001E-2</v>
      </c>
      <c r="U53" s="531">
        <f>100*T53/T$66</f>
        <v>0.2254473721290686</v>
      </c>
      <c r="V53" s="433"/>
      <c r="W53" s="531"/>
      <c r="X53" s="433"/>
      <c r="Y53" s="531"/>
      <c r="Z53" s="337"/>
      <c r="AA53" s="531"/>
      <c r="AB53" s="337"/>
      <c r="AC53" s="531"/>
      <c r="AD53" s="532">
        <v>1E-3</v>
      </c>
      <c r="AE53" s="531">
        <f t="shared" si="50"/>
        <v>2.1196320318792655E-3</v>
      </c>
      <c r="AF53" s="337">
        <v>1E-3</v>
      </c>
      <c r="AG53" s="533">
        <f>100*AF53/AF$66</f>
        <v>1.5474127259222582E-3</v>
      </c>
      <c r="AH53" s="337">
        <v>5.0000000000000001E-3</v>
      </c>
      <c r="AI53" s="533">
        <f t="shared" si="51"/>
        <v>6.9278944743113666E-3</v>
      </c>
      <c r="AJ53" s="534">
        <v>0.01</v>
      </c>
      <c r="AK53" s="535">
        <f t="shared" si="52"/>
        <v>1.3509862199405566E-2</v>
      </c>
      <c r="AL53" s="539">
        <v>0.01</v>
      </c>
      <c r="AM53" s="535">
        <f t="shared" si="53"/>
        <v>1.5860679788735742E-2</v>
      </c>
      <c r="AN53" s="539">
        <v>0.01</v>
      </c>
      <c r="AO53" s="535">
        <v>1.8013474078610803E-2</v>
      </c>
      <c r="AP53" s="337">
        <v>0.01</v>
      </c>
      <c r="AQ53" s="535">
        <f t="shared" si="54"/>
        <v>1.6838135008166499E-2</v>
      </c>
      <c r="AR53" s="534"/>
      <c r="AS53" s="535"/>
      <c r="AT53" s="534"/>
      <c r="AU53" s="535"/>
      <c r="AV53" s="534"/>
      <c r="AW53" s="533"/>
      <c r="AX53" s="534"/>
      <c r="AY53" s="535"/>
      <c r="AZ53" s="534"/>
      <c r="BA53" s="535"/>
      <c r="BB53" s="534"/>
      <c r="BC53" s="540"/>
    </row>
    <row r="54" spans="1:55" s="313" customFormat="1" ht="12.4" hidden="1" customHeight="1">
      <c r="A54" s="538" t="s">
        <v>260</v>
      </c>
      <c r="B54" s="530"/>
      <c r="C54" s="531"/>
      <c r="D54" s="530"/>
      <c r="E54" s="531"/>
      <c r="F54" s="530"/>
      <c r="G54" s="531"/>
      <c r="H54" s="530"/>
      <c r="I54" s="531"/>
      <c r="J54" s="530"/>
      <c r="K54" s="531"/>
      <c r="L54" s="530"/>
      <c r="M54" s="531"/>
      <c r="N54" s="530"/>
      <c r="O54" s="531"/>
      <c r="P54" s="530"/>
      <c r="Q54" s="531"/>
      <c r="R54" s="433"/>
      <c r="S54" s="531"/>
      <c r="T54" s="433"/>
      <c r="U54" s="531"/>
      <c r="V54" s="433"/>
      <c r="W54" s="531"/>
      <c r="X54" s="433">
        <v>1E-3</v>
      </c>
      <c r="Y54" s="531">
        <f>100*X54/X$66</f>
        <v>2.9146021568055968E-3</v>
      </c>
      <c r="Z54" s="337" t="e">
        <f>SUMIF('[1]ST 7'!B$6:B$59,A54,'[1]ST 7'!AJ$6:AJ$60)</f>
        <v>#VALUE!</v>
      </c>
      <c r="AA54" s="531" t="e">
        <f>100*Z54/Z$66</f>
        <v>#VALUE!</v>
      </c>
      <c r="AB54" s="337">
        <v>4.2999999999999997E-2</v>
      </c>
      <c r="AC54" s="531">
        <f>100*AB54/AB$66</f>
        <v>9.200419367952585E-2</v>
      </c>
      <c r="AD54" s="532">
        <v>1.6E-2</v>
      </c>
      <c r="AE54" s="531">
        <f t="shared" si="50"/>
        <v>3.3914112510068248E-2</v>
      </c>
      <c r="AF54" s="337">
        <v>1.6E-2</v>
      </c>
      <c r="AG54" s="533">
        <f>100*AF54/AF$66</f>
        <v>2.4758603614756132E-2</v>
      </c>
      <c r="AH54" s="337">
        <v>7.0000000000000001E-3</v>
      </c>
      <c r="AI54" s="533">
        <f t="shared" si="51"/>
        <v>9.6990522640359143E-3</v>
      </c>
      <c r="AJ54" s="534">
        <v>1.2E-2</v>
      </c>
      <c r="AK54" s="535">
        <f t="shared" si="52"/>
        <v>1.6211834639286681E-2</v>
      </c>
      <c r="AL54" s="539">
        <v>8.0000000000000002E-3</v>
      </c>
      <c r="AM54" s="535">
        <f t="shared" si="53"/>
        <v>1.2688543830988596E-2</v>
      </c>
      <c r="AN54" s="539">
        <v>2.1999999999999999E-2</v>
      </c>
      <c r="AO54" s="535">
        <v>3.962964297294376E-2</v>
      </c>
      <c r="AP54" s="337">
        <v>0</v>
      </c>
      <c r="AQ54" s="535">
        <f t="shared" si="54"/>
        <v>0</v>
      </c>
      <c r="AR54" s="534"/>
      <c r="AS54" s="535"/>
      <c r="AT54" s="534"/>
      <c r="AU54" s="535"/>
      <c r="AV54" s="534"/>
      <c r="AW54" s="533"/>
      <c r="AX54" s="534"/>
      <c r="AY54" s="535"/>
      <c r="AZ54" s="534"/>
      <c r="BA54" s="535"/>
      <c r="BB54" s="534"/>
      <c r="BC54" s="540"/>
    </row>
    <row r="55" spans="1:55" s="313" customFormat="1" ht="12.4" hidden="1" customHeight="1">
      <c r="A55" s="538" t="s">
        <v>115</v>
      </c>
      <c r="B55" s="530"/>
      <c r="C55" s="531"/>
      <c r="D55" s="530"/>
      <c r="E55" s="531"/>
      <c r="F55" s="530"/>
      <c r="G55" s="531"/>
      <c r="H55" s="530"/>
      <c r="I55" s="531"/>
      <c r="J55" s="530"/>
      <c r="K55" s="531"/>
      <c r="L55" s="530"/>
      <c r="M55" s="531"/>
      <c r="N55" s="530"/>
      <c r="O55" s="531"/>
      <c r="P55" s="530"/>
      <c r="Q55" s="531"/>
      <c r="R55" s="433"/>
      <c r="S55" s="531"/>
      <c r="T55" s="433"/>
      <c r="U55" s="531"/>
      <c r="V55" s="433">
        <v>8.9999999999999993E-3</v>
      </c>
      <c r="W55" s="531">
        <f>100*V55/V$66</f>
        <v>3.7561036684612484E-2</v>
      </c>
      <c r="X55" s="433">
        <v>2E-3</v>
      </c>
      <c r="Y55" s="531">
        <f>100*X55/X$66</f>
        <v>5.8292043136111936E-3</v>
      </c>
      <c r="Z55" s="541"/>
      <c r="AA55" s="531"/>
      <c r="AB55" s="337">
        <v>5.0000000000000001E-3</v>
      </c>
      <c r="AC55" s="531">
        <f>100*AB55/AB$66</f>
        <v>1.069816205575882E-2</v>
      </c>
      <c r="AD55" s="532">
        <v>3.0000000000000001E-3</v>
      </c>
      <c r="AE55" s="531">
        <f t="shared" si="50"/>
        <v>6.3588960956377965E-3</v>
      </c>
      <c r="AF55" s="337"/>
      <c r="AG55" s="533"/>
      <c r="AH55" s="337">
        <v>8.0000000000000002E-3</v>
      </c>
      <c r="AI55" s="533">
        <f t="shared" si="51"/>
        <v>1.1084631158898187E-2</v>
      </c>
      <c r="AJ55" s="534"/>
      <c r="AK55" s="535">
        <f t="shared" si="52"/>
        <v>0</v>
      </c>
      <c r="AL55" s="539">
        <v>0</v>
      </c>
      <c r="AM55" s="535">
        <f t="shared" si="53"/>
        <v>0</v>
      </c>
      <c r="AN55" s="539">
        <v>0</v>
      </c>
      <c r="AO55" s="535">
        <v>0</v>
      </c>
      <c r="AP55" s="337">
        <v>0</v>
      </c>
      <c r="AQ55" s="535">
        <f t="shared" si="54"/>
        <v>0</v>
      </c>
      <c r="AR55" s="534"/>
      <c r="AS55" s="535"/>
      <c r="AT55" s="534"/>
      <c r="AU55" s="535"/>
      <c r="AV55" s="534"/>
      <c r="AW55" s="533"/>
      <c r="AX55" s="534"/>
      <c r="AY55" s="535"/>
      <c r="AZ55" s="534"/>
      <c r="BA55" s="535"/>
      <c r="BB55" s="534"/>
      <c r="BC55" s="540"/>
    </row>
    <row r="56" spans="1:55" s="313" customFormat="1" ht="12.4" hidden="1" customHeight="1">
      <c r="A56" s="538" t="s">
        <v>129</v>
      </c>
      <c r="B56" s="530"/>
      <c r="C56" s="531"/>
      <c r="D56" s="530"/>
      <c r="E56" s="531"/>
      <c r="F56" s="530"/>
      <c r="G56" s="531"/>
      <c r="H56" s="530"/>
      <c r="I56" s="531"/>
      <c r="J56" s="530"/>
      <c r="K56" s="531"/>
      <c r="L56" s="530"/>
      <c r="M56" s="531"/>
      <c r="N56" s="530"/>
      <c r="O56" s="531"/>
      <c r="P56" s="530"/>
      <c r="Q56" s="531"/>
      <c r="R56" s="433"/>
      <c r="S56" s="531"/>
      <c r="T56" s="433"/>
      <c r="U56" s="531"/>
      <c r="V56" s="433"/>
      <c r="W56" s="531"/>
      <c r="X56" s="433"/>
      <c r="Y56" s="531"/>
      <c r="Z56" s="541"/>
      <c r="AA56" s="531"/>
      <c r="AB56" s="541"/>
      <c r="AC56" s="531"/>
      <c r="AD56" s="532">
        <v>1E-3</v>
      </c>
      <c r="AE56" s="531">
        <f t="shared" si="50"/>
        <v>2.1196320318792655E-3</v>
      </c>
      <c r="AF56" s="337">
        <v>1E-3</v>
      </c>
      <c r="AG56" s="533">
        <f t="shared" ref="AG56:AG61" si="55">100*AF56/AF$66</f>
        <v>1.5474127259222582E-3</v>
      </c>
      <c r="AH56" s="337">
        <v>1E-3</v>
      </c>
      <c r="AI56" s="533">
        <f t="shared" si="51"/>
        <v>1.3855788948622734E-3</v>
      </c>
      <c r="AJ56" s="534">
        <v>1E-3</v>
      </c>
      <c r="AK56" s="535">
        <f t="shared" si="52"/>
        <v>1.3509862199405569E-3</v>
      </c>
      <c r="AL56" s="539">
        <v>1E-3</v>
      </c>
      <c r="AM56" s="535">
        <f t="shared" si="53"/>
        <v>1.5860679788735745E-3</v>
      </c>
      <c r="AN56" s="539">
        <v>1E-3</v>
      </c>
      <c r="AO56" s="535">
        <v>1.8013474078610804E-3</v>
      </c>
      <c r="AP56" s="337">
        <v>0</v>
      </c>
      <c r="AQ56" s="535">
        <f t="shared" si="54"/>
        <v>0</v>
      </c>
      <c r="AR56" s="534"/>
      <c r="AS56" s="535"/>
      <c r="AT56" s="534"/>
      <c r="AU56" s="535"/>
      <c r="AV56" s="534"/>
      <c r="AW56" s="533"/>
      <c r="AX56" s="534"/>
      <c r="AY56" s="535"/>
      <c r="AZ56" s="534"/>
      <c r="BA56" s="535"/>
      <c r="BB56" s="534"/>
      <c r="BC56" s="540"/>
    </row>
    <row r="57" spans="1:55" s="313" customFormat="1" ht="12.4" hidden="1" customHeight="1">
      <c r="A57" s="538" t="s">
        <v>130</v>
      </c>
      <c r="B57" s="530"/>
      <c r="C57" s="531"/>
      <c r="D57" s="530"/>
      <c r="E57" s="531"/>
      <c r="F57" s="530"/>
      <c r="G57" s="531"/>
      <c r="H57" s="530"/>
      <c r="I57" s="531"/>
      <c r="J57" s="530"/>
      <c r="K57" s="531"/>
      <c r="L57" s="530"/>
      <c r="M57" s="531"/>
      <c r="N57" s="530"/>
      <c r="O57" s="531"/>
      <c r="P57" s="530"/>
      <c r="Q57" s="531"/>
      <c r="R57" s="433"/>
      <c r="S57" s="531"/>
      <c r="T57" s="433"/>
      <c r="U57" s="531"/>
      <c r="V57" s="433"/>
      <c r="W57" s="531"/>
      <c r="X57" s="433"/>
      <c r="Y57" s="531"/>
      <c r="Z57" s="337" t="e">
        <f>SUMIF('[1]ST 7'!B$6:B$59,A57,'[1]ST 7'!AJ$6:AJ$60)</f>
        <v>#VALUE!</v>
      </c>
      <c r="AA57" s="531" t="e">
        <f>100*Z57/Z$66</f>
        <v>#VALUE!</v>
      </c>
      <c r="AB57" s="337">
        <v>2.7E-2</v>
      </c>
      <c r="AC57" s="531">
        <f>100*AB57/AB$66</f>
        <v>5.7770075101097634E-2</v>
      </c>
      <c r="AD57" s="532">
        <v>3.1E-2</v>
      </c>
      <c r="AE57" s="531">
        <f t="shared" si="50"/>
        <v>6.5708592988257236E-2</v>
      </c>
      <c r="AF57" s="337">
        <v>7.1999999999999995E-2</v>
      </c>
      <c r="AG57" s="533">
        <f t="shared" si="55"/>
        <v>0.11141371626640258</v>
      </c>
      <c r="AH57" s="337">
        <v>1E-3</v>
      </c>
      <c r="AI57" s="533">
        <f t="shared" si="51"/>
        <v>1.3855788948622734E-3</v>
      </c>
      <c r="AJ57" s="534">
        <v>2.3E-2</v>
      </c>
      <c r="AK57" s="535">
        <f t="shared" si="52"/>
        <v>3.10726830586328E-2</v>
      </c>
      <c r="AL57" s="539">
        <v>2.5000000000000001E-2</v>
      </c>
      <c r="AM57" s="535">
        <f t="shared" si="53"/>
        <v>3.9651699471839358E-2</v>
      </c>
      <c r="AN57" s="539">
        <v>7.5999999999999998E-2</v>
      </c>
      <c r="AO57" s="535">
        <v>0.13690240299744208</v>
      </c>
      <c r="AP57" s="337">
        <v>2E-3</v>
      </c>
      <c r="AQ57" s="535">
        <f t="shared" si="54"/>
        <v>3.3676270016333E-3</v>
      </c>
      <c r="AR57" s="534"/>
      <c r="AS57" s="535"/>
      <c r="AT57" s="534"/>
      <c r="AU57" s="535"/>
      <c r="AV57" s="534"/>
      <c r="AW57" s="533"/>
      <c r="AX57" s="534"/>
      <c r="AY57" s="535"/>
      <c r="AZ57" s="534"/>
      <c r="BA57" s="535"/>
      <c r="BB57" s="534"/>
      <c r="BC57" s="540"/>
    </row>
    <row r="58" spans="1:55" s="313" customFormat="1" ht="12.4" hidden="1" customHeight="1">
      <c r="A58" s="538" t="s">
        <v>155</v>
      </c>
      <c r="B58" s="530"/>
      <c r="C58" s="531"/>
      <c r="D58" s="530"/>
      <c r="E58" s="531"/>
      <c r="F58" s="530"/>
      <c r="G58" s="531"/>
      <c r="H58" s="530"/>
      <c r="I58" s="531"/>
      <c r="J58" s="530"/>
      <c r="K58" s="531"/>
      <c r="L58" s="530"/>
      <c r="M58" s="531"/>
      <c r="N58" s="530"/>
      <c r="O58" s="531"/>
      <c r="P58" s="530"/>
      <c r="Q58" s="531"/>
      <c r="R58" s="433"/>
      <c r="S58" s="531"/>
      <c r="T58" s="433"/>
      <c r="U58" s="531"/>
      <c r="V58" s="433"/>
      <c r="W58" s="531"/>
      <c r="X58" s="433"/>
      <c r="Y58" s="531"/>
      <c r="Z58" s="541"/>
      <c r="AA58" s="531"/>
      <c r="AB58" s="337">
        <v>7.0000000000000001E-3</v>
      </c>
      <c r="AC58" s="531">
        <f>100*AB58/AB$66</f>
        <v>1.4977426878062351E-2</v>
      </c>
      <c r="AD58" s="532">
        <v>4.7E-2</v>
      </c>
      <c r="AE58" s="531">
        <f t="shared" si="50"/>
        <v>9.9622705498325484E-2</v>
      </c>
      <c r="AF58" s="337">
        <v>0.84199999999999997</v>
      </c>
      <c r="AG58" s="533">
        <f t="shared" si="55"/>
        <v>1.3029215152265414</v>
      </c>
      <c r="AH58" s="337">
        <v>1E-3</v>
      </c>
      <c r="AI58" s="533">
        <f t="shared" si="51"/>
        <v>1.3855788948622734E-3</v>
      </c>
      <c r="AJ58" s="534">
        <v>2E-3</v>
      </c>
      <c r="AK58" s="535">
        <f t="shared" si="52"/>
        <v>2.7019724398811137E-3</v>
      </c>
      <c r="AL58" s="539">
        <v>0.16400000000000001</v>
      </c>
      <c r="AM58" s="535">
        <f t="shared" si="53"/>
        <v>0.26011514853526624</v>
      </c>
      <c r="AN58" s="539">
        <v>5.0000000000000001E-3</v>
      </c>
      <c r="AO58" s="535">
        <v>9.0067370393054017E-3</v>
      </c>
      <c r="AP58" s="337">
        <v>0</v>
      </c>
      <c r="AQ58" s="535">
        <f t="shared" si="54"/>
        <v>0</v>
      </c>
      <c r="AR58" s="534"/>
      <c r="AS58" s="535"/>
      <c r="AT58" s="534"/>
      <c r="AU58" s="535"/>
      <c r="AV58" s="534"/>
      <c r="AW58" s="533"/>
      <c r="AX58" s="534"/>
      <c r="AY58" s="535"/>
      <c r="AZ58" s="534"/>
      <c r="BA58" s="535"/>
      <c r="BB58" s="534"/>
      <c r="BC58" s="540"/>
    </row>
    <row r="59" spans="1:55" s="313" customFormat="1" ht="12.4" hidden="1" customHeight="1">
      <c r="A59" s="538" t="s">
        <v>213</v>
      </c>
      <c r="B59" s="530"/>
      <c r="C59" s="531"/>
      <c r="D59" s="530"/>
      <c r="E59" s="531"/>
      <c r="F59" s="530"/>
      <c r="G59" s="531"/>
      <c r="H59" s="530"/>
      <c r="I59" s="531"/>
      <c r="J59" s="530"/>
      <c r="K59" s="531"/>
      <c r="L59" s="530"/>
      <c r="M59" s="531"/>
      <c r="N59" s="530"/>
      <c r="O59" s="531"/>
      <c r="P59" s="530"/>
      <c r="Q59" s="531"/>
      <c r="R59" s="433"/>
      <c r="S59" s="531"/>
      <c r="T59" s="433"/>
      <c r="U59" s="531"/>
      <c r="V59" s="433"/>
      <c r="W59" s="531"/>
      <c r="X59" s="433"/>
      <c r="Y59" s="531"/>
      <c r="Z59" s="541"/>
      <c r="AA59" s="531"/>
      <c r="AB59" s="541"/>
      <c r="AC59" s="531"/>
      <c r="AD59" s="532">
        <v>1E-3</v>
      </c>
      <c r="AE59" s="531">
        <f t="shared" si="50"/>
        <v>2.1196320318792655E-3</v>
      </c>
      <c r="AF59" s="337">
        <v>2.8000000000000001E-2</v>
      </c>
      <c r="AG59" s="533">
        <f t="shared" si="55"/>
        <v>4.3327556325823233E-2</v>
      </c>
      <c r="AH59" s="337">
        <v>0.04</v>
      </c>
      <c r="AI59" s="533">
        <f t="shared" si="51"/>
        <v>5.5423155794490933E-2</v>
      </c>
      <c r="AJ59" s="534">
        <v>0.108</v>
      </c>
      <c r="AK59" s="535">
        <f t="shared" si="52"/>
        <v>0.14590651175358013</v>
      </c>
      <c r="AL59" s="539">
        <v>9.2999999999999999E-2</v>
      </c>
      <c r="AM59" s="535">
        <f t="shared" si="53"/>
        <v>0.14750432203524241</v>
      </c>
      <c r="AN59" s="539">
        <v>0.157</v>
      </c>
      <c r="AO59" s="535">
        <v>0.28281154303418959</v>
      </c>
      <c r="AP59" s="337">
        <v>3.6999999999999998E-2</v>
      </c>
      <c r="AQ59" s="535">
        <f t="shared" si="54"/>
        <v>6.2301099530216043E-2</v>
      </c>
      <c r="AR59" s="534"/>
      <c r="AS59" s="535"/>
      <c r="AT59" s="534"/>
      <c r="AU59" s="535"/>
      <c r="AV59" s="534"/>
      <c r="AW59" s="533"/>
      <c r="AX59" s="534"/>
      <c r="AY59" s="535"/>
      <c r="AZ59" s="534"/>
      <c r="BA59" s="535"/>
      <c r="BB59" s="534"/>
      <c r="BC59" s="540"/>
    </row>
    <row r="60" spans="1:55" s="313" customFormat="1" ht="12.4" hidden="1" customHeight="1">
      <c r="A60" s="538" t="s">
        <v>214</v>
      </c>
      <c r="B60" s="530"/>
      <c r="C60" s="531"/>
      <c r="D60" s="530"/>
      <c r="E60" s="531"/>
      <c r="F60" s="530"/>
      <c r="G60" s="531"/>
      <c r="H60" s="530"/>
      <c r="I60" s="531"/>
      <c r="J60" s="530"/>
      <c r="K60" s="531"/>
      <c r="L60" s="530"/>
      <c r="M60" s="531"/>
      <c r="N60" s="530"/>
      <c r="O60" s="531"/>
      <c r="P60" s="530"/>
      <c r="Q60" s="531"/>
      <c r="R60" s="433"/>
      <c r="S60" s="531"/>
      <c r="T60" s="433"/>
      <c r="U60" s="531"/>
      <c r="V60" s="433"/>
      <c r="W60" s="531"/>
      <c r="X60" s="433"/>
      <c r="Y60" s="531"/>
      <c r="Z60" s="541"/>
      <c r="AA60" s="531"/>
      <c r="AB60" s="541"/>
      <c r="AC60" s="531"/>
      <c r="AD60" s="532"/>
      <c r="AE60" s="531"/>
      <c r="AF60" s="337">
        <v>4.0000000000000001E-3</v>
      </c>
      <c r="AG60" s="533">
        <f t="shared" si="55"/>
        <v>6.189650903689033E-3</v>
      </c>
      <c r="AH60" s="337">
        <v>5.0000000000000001E-3</v>
      </c>
      <c r="AI60" s="533">
        <f t="shared" si="51"/>
        <v>6.9278944743113666E-3</v>
      </c>
      <c r="AJ60" s="534">
        <v>5.0000000000000001E-3</v>
      </c>
      <c r="AK60" s="535">
        <f t="shared" si="52"/>
        <v>6.754931099702783E-3</v>
      </c>
      <c r="AL60" s="539">
        <v>1E-3</v>
      </c>
      <c r="AM60" s="535">
        <f t="shared" si="53"/>
        <v>1.5860679788735745E-3</v>
      </c>
      <c r="AN60" s="539">
        <v>4.0000000000000001E-3</v>
      </c>
      <c r="AO60" s="535">
        <v>7.2053896314443217E-3</v>
      </c>
      <c r="AP60" s="337">
        <v>0</v>
      </c>
      <c r="AQ60" s="535">
        <f t="shared" si="54"/>
        <v>0</v>
      </c>
      <c r="AR60" s="534"/>
      <c r="AS60" s="535"/>
      <c r="AT60" s="534"/>
      <c r="AU60" s="535"/>
      <c r="AV60" s="534"/>
      <c r="AW60" s="533"/>
      <c r="AX60" s="534"/>
      <c r="AY60" s="535"/>
      <c r="AZ60" s="534"/>
      <c r="BA60" s="535"/>
      <c r="BB60" s="534"/>
      <c r="BC60" s="540"/>
    </row>
    <row r="61" spans="1:55" s="313" customFormat="1" ht="12.4" hidden="1" customHeight="1">
      <c r="A61" s="538" t="s">
        <v>212</v>
      </c>
      <c r="B61" s="530"/>
      <c r="C61" s="531"/>
      <c r="D61" s="530"/>
      <c r="E61" s="531"/>
      <c r="F61" s="530"/>
      <c r="G61" s="531"/>
      <c r="H61" s="530"/>
      <c r="I61" s="531"/>
      <c r="J61" s="530"/>
      <c r="K61" s="531"/>
      <c r="L61" s="530"/>
      <c r="M61" s="531"/>
      <c r="N61" s="530"/>
      <c r="O61" s="531"/>
      <c r="P61" s="530"/>
      <c r="Q61" s="531"/>
      <c r="R61" s="433"/>
      <c r="S61" s="531"/>
      <c r="T61" s="433"/>
      <c r="U61" s="531"/>
      <c r="V61" s="433"/>
      <c r="W61" s="531"/>
      <c r="X61" s="433"/>
      <c r="Y61" s="531"/>
      <c r="Z61" s="541"/>
      <c r="AA61" s="531"/>
      <c r="AB61" s="541"/>
      <c r="AC61" s="531"/>
      <c r="AD61" s="532">
        <v>7.0000000000000001E-3</v>
      </c>
      <c r="AE61" s="531">
        <f>100*AD61/AD$66</f>
        <v>1.4837424223154861E-2</v>
      </c>
      <c r="AF61" s="337">
        <v>2.5000000000000001E-2</v>
      </c>
      <c r="AG61" s="533">
        <f t="shared" si="55"/>
        <v>3.8685318148056452E-2</v>
      </c>
      <c r="AH61" s="337">
        <v>1.0999999999999999E-2</v>
      </c>
      <c r="AI61" s="533">
        <f t="shared" si="51"/>
        <v>1.5241367843485005E-2</v>
      </c>
      <c r="AJ61" s="534">
        <v>1E-3</v>
      </c>
      <c r="AK61" s="535">
        <f t="shared" si="52"/>
        <v>1.3509862199405569E-3</v>
      </c>
      <c r="AL61" s="539">
        <v>8.4000000000000005E-2</v>
      </c>
      <c r="AM61" s="535">
        <f t="shared" si="53"/>
        <v>0.13322971022538024</v>
      </c>
      <c r="AN61" s="539">
        <v>0.13100000000000001</v>
      </c>
      <c r="AO61" s="535">
        <v>0.23597651042980153</v>
      </c>
      <c r="AP61" s="337">
        <v>5.3999999999999999E-2</v>
      </c>
      <c r="AQ61" s="535">
        <f t="shared" si="54"/>
        <v>9.0925929044099102E-2</v>
      </c>
      <c r="AR61" s="534"/>
      <c r="AS61" s="535"/>
      <c r="AT61" s="534"/>
      <c r="AU61" s="535"/>
      <c r="AV61" s="534"/>
      <c r="AW61" s="533"/>
      <c r="AX61" s="534"/>
      <c r="AY61" s="535"/>
      <c r="AZ61" s="534"/>
      <c r="BA61" s="535"/>
      <c r="BB61" s="534"/>
      <c r="BC61" s="540"/>
    </row>
    <row r="62" spans="1:55" s="313" customFormat="1" ht="12.4" hidden="1" customHeight="1">
      <c r="A62" s="538" t="s">
        <v>248</v>
      </c>
      <c r="B62" s="530"/>
      <c r="C62" s="531"/>
      <c r="D62" s="530"/>
      <c r="E62" s="531"/>
      <c r="F62" s="530"/>
      <c r="G62" s="531"/>
      <c r="H62" s="530"/>
      <c r="I62" s="531"/>
      <c r="J62" s="530"/>
      <c r="K62" s="531"/>
      <c r="L62" s="530"/>
      <c r="M62" s="531"/>
      <c r="N62" s="530"/>
      <c r="O62" s="531"/>
      <c r="P62" s="530"/>
      <c r="Q62" s="531"/>
      <c r="R62" s="433"/>
      <c r="S62" s="531"/>
      <c r="T62" s="433"/>
      <c r="U62" s="531"/>
      <c r="V62" s="433"/>
      <c r="W62" s="531"/>
      <c r="X62" s="433"/>
      <c r="Y62" s="531"/>
      <c r="Z62" s="541"/>
      <c r="AA62" s="531"/>
      <c r="AB62" s="541"/>
      <c r="AC62" s="531"/>
      <c r="AD62" s="532"/>
      <c r="AE62" s="531"/>
      <c r="AF62" s="337"/>
      <c r="AG62" s="533"/>
      <c r="AH62" s="337">
        <v>1.4999999999999999E-2</v>
      </c>
      <c r="AI62" s="533">
        <f t="shared" si="51"/>
        <v>2.0783683422934098E-2</v>
      </c>
      <c r="AJ62" s="534">
        <v>1.2999999999999999E-2</v>
      </c>
      <c r="AK62" s="535">
        <f t="shared" si="52"/>
        <v>1.7562820859227238E-2</v>
      </c>
      <c r="AL62" s="539">
        <v>5.5E-2</v>
      </c>
      <c r="AM62" s="535">
        <f t="shared" si="53"/>
        <v>8.7233738838046596E-2</v>
      </c>
      <c r="AN62" s="539">
        <v>0.109</v>
      </c>
      <c r="AO62" s="535">
        <v>0.19634686745685775</v>
      </c>
      <c r="AP62" s="337">
        <v>4.0000000000000001E-3</v>
      </c>
      <c r="AQ62" s="535">
        <f t="shared" si="54"/>
        <v>6.7352540032666001E-3</v>
      </c>
      <c r="AR62" s="534"/>
      <c r="AS62" s="535"/>
      <c r="AT62" s="534"/>
      <c r="AU62" s="535"/>
      <c r="AV62" s="534"/>
      <c r="AW62" s="533"/>
      <c r="AX62" s="534"/>
      <c r="AY62" s="535"/>
      <c r="AZ62" s="534"/>
      <c r="BA62" s="535"/>
      <c r="BB62" s="534"/>
      <c r="BC62" s="540"/>
    </row>
    <row r="63" spans="1:55" s="313" customFormat="1" ht="12.4" hidden="1" customHeight="1">
      <c r="A63" s="542" t="s">
        <v>262</v>
      </c>
      <c r="B63" s="530"/>
      <c r="C63" s="531"/>
      <c r="D63" s="530"/>
      <c r="E63" s="531"/>
      <c r="F63" s="530"/>
      <c r="G63" s="531"/>
      <c r="H63" s="530"/>
      <c r="I63" s="531"/>
      <c r="J63" s="530"/>
      <c r="K63" s="531"/>
      <c r="L63" s="530"/>
      <c r="M63" s="531"/>
      <c r="N63" s="530"/>
      <c r="O63" s="531"/>
      <c r="P63" s="530"/>
      <c r="Q63" s="531"/>
      <c r="R63" s="433"/>
      <c r="S63" s="531"/>
      <c r="T63" s="433"/>
      <c r="U63" s="531"/>
      <c r="V63" s="433"/>
      <c r="W63" s="531"/>
      <c r="X63" s="433"/>
      <c r="Y63" s="531"/>
      <c r="Z63" s="541"/>
      <c r="AA63" s="531"/>
      <c r="AB63" s="541"/>
      <c r="AC63" s="531"/>
      <c r="AD63" s="532"/>
      <c r="AE63" s="531"/>
      <c r="AF63" s="337"/>
      <c r="AG63" s="533"/>
      <c r="AH63" s="337"/>
      <c r="AI63" s="533"/>
      <c r="AJ63" s="534">
        <v>2.7E-2</v>
      </c>
      <c r="AK63" s="535">
        <f t="shared" si="52"/>
        <v>3.6476627938395033E-2</v>
      </c>
      <c r="AL63" s="539">
        <v>1E-3</v>
      </c>
      <c r="AM63" s="535">
        <f t="shared" si="53"/>
        <v>1.5860679788735745E-3</v>
      </c>
      <c r="AN63" s="539">
        <v>1.7000000000000001E-2</v>
      </c>
      <c r="AO63" s="535">
        <v>3.0622905933638367E-2</v>
      </c>
      <c r="AP63" s="337">
        <v>7.0000000000000001E-3</v>
      </c>
      <c r="AQ63" s="535">
        <f t="shared" si="54"/>
        <v>1.1786694505716551E-2</v>
      </c>
      <c r="AR63" s="534"/>
      <c r="AS63" s="535"/>
      <c r="AT63" s="534"/>
      <c r="AU63" s="535"/>
      <c r="AV63" s="534"/>
      <c r="AW63" s="533"/>
      <c r="AX63" s="534"/>
      <c r="AY63" s="535"/>
      <c r="AZ63" s="534"/>
      <c r="BA63" s="535"/>
      <c r="BB63" s="534"/>
      <c r="BC63" s="540"/>
    </row>
    <row r="64" spans="1:55" s="313" customFormat="1" ht="12.4" hidden="1" customHeight="1">
      <c r="A64" s="538" t="s">
        <v>251</v>
      </c>
      <c r="B64" s="530"/>
      <c r="C64" s="531"/>
      <c r="D64" s="530"/>
      <c r="E64" s="531"/>
      <c r="F64" s="530"/>
      <c r="G64" s="531"/>
      <c r="H64" s="530"/>
      <c r="I64" s="531"/>
      <c r="J64" s="530"/>
      <c r="K64" s="531"/>
      <c r="L64" s="530"/>
      <c r="M64" s="531"/>
      <c r="N64" s="530"/>
      <c r="O64" s="531"/>
      <c r="P64" s="530"/>
      <c r="Q64" s="531"/>
      <c r="R64" s="433"/>
      <c r="S64" s="531"/>
      <c r="T64" s="433"/>
      <c r="U64" s="531"/>
      <c r="V64" s="433"/>
      <c r="W64" s="531"/>
      <c r="X64" s="433"/>
      <c r="Y64" s="531"/>
      <c r="Z64" s="541"/>
      <c r="AA64" s="531"/>
      <c r="AB64" s="541"/>
      <c r="AC64" s="531"/>
      <c r="AD64" s="532"/>
      <c r="AE64" s="531"/>
      <c r="AF64" s="337"/>
      <c r="AG64" s="533"/>
      <c r="AH64" s="337"/>
      <c r="AI64" s="533"/>
      <c r="AJ64" s="534"/>
      <c r="AK64" s="535"/>
      <c r="AL64" s="539">
        <v>3.0000000000000001E-3</v>
      </c>
      <c r="AM64" s="535">
        <f t="shared" si="53"/>
        <v>4.7582039366207227E-3</v>
      </c>
      <c r="AN64" s="539">
        <v>0</v>
      </c>
      <c r="AO64" s="535">
        <v>0</v>
      </c>
      <c r="AP64" s="337">
        <v>0</v>
      </c>
      <c r="AQ64" s="535">
        <f t="shared" si="54"/>
        <v>0</v>
      </c>
      <c r="AR64" s="534"/>
      <c r="AS64" s="535"/>
      <c r="AT64" s="534"/>
      <c r="AU64" s="535"/>
      <c r="AV64" s="534"/>
      <c r="AW64" s="533"/>
      <c r="AX64" s="534"/>
      <c r="AY64" s="535"/>
      <c r="AZ64" s="534"/>
      <c r="BA64" s="535"/>
      <c r="BB64" s="534"/>
      <c r="BC64" s="540"/>
    </row>
    <row r="65" spans="1:55" s="335" customFormat="1" ht="13.9" customHeight="1">
      <c r="A65" s="368" t="s">
        <v>410</v>
      </c>
      <c r="B65" s="543">
        <f t="shared" ref="B65:AC65" si="56">SUM(B39:B58)</f>
        <v>0.08</v>
      </c>
      <c r="C65" s="544">
        <f t="shared" si="56"/>
        <v>0.1676481066241958</v>
      </c>
      <c r="D65" s="543">
        <f t="shared" si="56"/>
        <v>4.7E-2</v>
      </c>
      <c r="E65" s="544">
        <f t="shared" si="56"/>
        <v>0.10250817884405672</v>
      </c>
      <c r="F65" s="543">
        <f t="shared" si="56"/>
        <v>4.1000000000000002E-2</v>
      </c>
      <c r="G65" s="544">
        <f t="shared" si="56"/>
        <v>9.7137983320697535E-2</v>
      </c>
      <c r="H65" s="543">
        <f t="shared" si="56"/>
        <v>4.2999999999999997E-2</v>
      </c>
      <c r="I65" s="544">
        <f t="shared" si="56"/>
        <v>0.1032784916536568</v>
      </c>
      <c r="J65" s="543">
        <f t="shared" si="56"/>
        <v>3.7999999999999999E-2</v>
      </c>
      <c r="K65" s="544">
        <f t="shared" si="56"/>
        <v>9.4797134132955527E-2</v>
      </c>
      <c r="L65" s="543">
        <f t="shared" si="56"/>
        <v>4.3999999999999997E-2</v>
      </c>
      <c r="M65" s="544">
        <f t="shared" si="56"/>
        <v>0.14981783513228233</v>
      </c>
      <c r="N65" s="543">
        <f t="shared" si="56"/>
        <v>0.04</v>
      </c>
      <c r="O65" s="544">
        <f t="shared" si="56"/>
        <v>0.18641935032856413</v>
      </c>
      <c r="P65" s="543">
        <f t="shared" si="56"/>
        <v>0.03</v>
      </c>
      <c r="Q65" s="544">
        <f t="shared" si="56"/>
        <v>0.16515276630883569</v>
      </c>
      <c r="R65" s="329">
        <f t="shared" si="56"/>
        <v>3.6999999999999998E-2</v>
      </c>
      <c r="S65" s="544">
        <f t="shared" si="56"/>
        <v>0.19068233353947639</v>
      </c>
      <c r="T65" s="329">
        <f t="shared" si="56"/>
        <v>0.129</v>
      </c>
      <c r="U65" s="544">
        <f t="shared" si="56"/>
        <v>0.60588981259687191</v>
      </c>
      <c r="V65" s="329">
        <f t="shared" si="56"/>
        <v>0.17</v>
      </c>
      <c r="W65" s="544">
        <f t="shared" si="56"/>
        <v>0.70948624848712483</v>
      </c>
      <c r="X65" s="329">
        <f t="shared" si="56"/>
        <v>0.253</v>
      </c>
      <c r="Y65" s="544">
        <f t="shared" si="56"/>
        <v>0.73739434567181594</v>
      </c>
      <c r="Z65" s="369" t="e">
        <f t="shared" si="56"/>
        <v>#VALUE!</v>
      </c>
      <c r="AA65" s="544" t="e">
        <f t="shared" si="56"/>
        <v>#VALUE!</v>
      </c>
      <c r="AB65" s="369">
        <f t="shared" si="56"/>
        <v>0.23600000000000002</v>
      </c>
      <c r="AC65" s="544">
        <f t="shared" si="56"/>
        <v>0.50495324903181626</v>
      </c>
      <c r="AD65" s="545">
        <f>SUM(AD39:AD61)</f>
        <v>0.34400000000000003</v>
      </c>
      <c r="AE65" s="544">
        <f>SUM(AE39:AE61)</f>
        <v>0.72915341896646735</v>
      </c>
      <c r="AF65" s="369">
        <f>SUM(AF39:AF61)</f>
        <v>1.4359999999999999</v>
      </c>
      <c r="AG65" s="546">
        <f>SUM(AG39:AG61)</f>
        <v>2.2220846744243632</v>
      </c>
      <c r="AH65" s="369">
        <f>SUM(AH39:AH64)</f>
        <v>0.56600000000000006</v>
      </c>
      <c r="AI65" s="546">
        <f>100*AH65/AH$66</f>
        <v>0.78423765449204674</v>
      </c>
      <c r="AJ65" s="369">
        <f>SUM(AJ39:AJ64)</f>
        <v>1.3309999999999995</v>
      </c>
      <c r="AK65" s="546">
        <f>100*AJ65/AJ$66</f>
        <v>1.7981626587408805</v>
      </c>
      <c r="AL65" s="369">
        <f>SUM(AL39:AL64)</f>
        <v>1.5929999999999993</v>
      </c>
      <c r="AM65" s="546">
        <f t="shared" si="53"/>
        <v>2.5266062903456028</v>
      </c>
      <c r="AN65" s="369">
        <f>SUM(AN39:AN64)</f>
        <v>0.98000000000000009</v>
      </c>
      <c r="AO65" s="546">
        <f>100*AN65/AN$66</f>
        <v>1.765320459703859</v>
      </c>
      <c r="AP65" s="369">
        <f t="shared" ref="AP65:BC65" si="57">SUM(AP39:AP64)</f>
        <v>0.28800000000000003</v>
      </c>
      <c r="AQ65" s="546">
        <f t="shared" si="57"/>
        <v>0.48493828823519514</v>
      </c>
      <c r="AR65" s="369">
        <f t="shared" si="57"/>
        <v>0.58500000000000008</v>
      </c>
      <c r="AS65" s="546">
        <f t="shared" si="57"/>
        <v>0.89502914582090265</v>
      </c>
      <c r="AT65" s="369">
        <f t="shared" si="57"/>
        <v>0.67400000000000004</v>
      </c>
      <c r="AU65" s="546">
        <f t="shared" si="57"/>
        <v>0.8765883286295828</v>
      </c>
      <c r="AV65" s="369" t="e">
        <f t="shared" si="57"/>
        <v>#VALUE!</v>
      </c>
      <c r="AW65" s="546" t="e">
        <f t="shared" si="57"/>
        <v>#VALUE!</v>
      </c>
      <c r="AX65" s="369">
        <f t="shared" si="57"/>
        <v>0.86199999999999999</v>
      </c>
      <c r="AY65" s="546">
        <f t="shared" si="57"/>
        <v>1.4954892435808465</v>
      </c>
      <c r="AZ65" s="369">
        <f>SUM(AZ39:AZ64)</f>
        <v>0.86399999999999999</v>
      </c>
      <c r="BA65" s="546">
        <f>SUM(BA39:BA64)</f>
        <v>1.0610079575596811</v>
      </c>
      <c r="BB65" s="369" t="e">
        <f t="shared" si="57"/>
        <v>#VALUE!</v>
      </c>
      <c r="BC65" s="547" t="e">
        <f t="shared" si="57"/>
        <v>#VALUE!</v>
      </c>
    </row>
    <row r="66" spans="1:55" s="335" customFormat="1" ht="13.9" customHeight="1" thickBot="1">
      <c r="A66" s="389" t="s">
        <v>141</v>
      </c>
      <c r="B66" s="548">
        <f t="shared" ref="B66:AH66" si="58">B65+B38</f>
        <v>47.719000000000001</v>
      </c>
      <c r="C66" s="548">
        <f t="shared" si="58"/>
        <v>100</v>
      </c>
      <c r="D66" s="548">
        <f t="shared" si="58"/>
        <v>45.849999999999994</v>
      </c>
      <c r="E66" s="548">
        <f t="shared" si="58"/>
        <v>100.00000000000001</v>
      </c>
      <c r="F66" s="548">
        <f t="shared" si="58"/>
        <v>42.207999999999991</v>
      </c>
      <c r="G66" s="548">
        <f t="shared" si="58"/>
        <v>100.00000000000006</v>
      </c>
      <c r="H66" s="548">
        <f t="shared" si="58"/>
        <v>41.634999999999991</v>
      </c>
      <c r="I66" s="548">
        <f t="shared" si="58"/>
        <v>100.00001298439962</v>
      </c>
      <c r="J66" s="548">
        <f t="shared" si="58"/>
        <v>40.085599999999978</v>
      </c>
      <c r="K66" s="548">
        <f t="shared" si="58"/>
        <v>100.00001475359483</v>
      </c>
      <c r="L66" s="548">
        <f t="shared" si="58"/>
        <v>29.368999999999996</v>
      </c>
      <c r="M66" s="548">
        <f t="shared" si="58"/>
        <v>100.0000260991323</v>
      </c>
      <c r="N66" s="548">
        <f t="shared" si="58"/>
        <v>21.456999999999997</v>
      </c>
      <c r="O66" s="548">
        <f t="shared" si="58"/>
        <v>100.00008696149196</v>
      </c>
      <c r="P66" s="548">
        <f t="shared" si="58"/>
        <v>18.164999999999999</v>
      </c>
      <c r="Q66" s="548">
        <f t="shared" si="58"/>
        <v>100.00010951935899</v>
      </c>
      <c r="R66" s="548">
        <f t="shared" si="58"/>
        <v>19.404000000000003</v>
      </c>
      <c r="S66" s="548">
        <f t="shared" si="58"/>
        <v>100.00002657304621</v>
      </c>
      <c r="T66" s="548">
        <f t="shared" si="58"/>
        <v>21.291</v>
      </c>
      <c r="U66" s="548">
        <f t="shared" si="58"/>
        <v>100.00007153526826</v>
      </c>
      <c r="V66" s="548">
        <f t="shared" si="58"/>
        <v>23.961000000000006</v>
      </c>
      <c r="W66" s="548">
        <f t="shared" si="58"/>
        <v>100.00767105698129</v>
      </c>
      <c r="X66" s="548">
        <f t="shared" si="58"/>
        <v>34.309999999999995</v>
      </c>
      <c r="Y66" s="548">
        <f t="shared" si="58"/>
        <v>99.999994563894106</v>
      </c>
      <c r="Z66" s="390" t="e">
        <f t="shared" si="58"/>
        <v>#VALUE!</v>
      </c>
      <c r="AA66" s="548" t="e">
        <f t="shared" si="58"/>
        <v>#VALUE!</v>
      </c>
      <c r="AB66" s="390">
        <f t="shared" si="58"/>
        <v>46.737000000000002</v>
      </c>
      <c r="AC66" s="548">
        <f t="shared" si="58"/>
        <v>99.999995606222356</v>
      </c>
      <c r="AD66" s="390">
        <f t="shared" si="58"/>
        <v>47.178000000000004</v>
      </c>
      <c r="AE66" s="549">
        <f t="shared" si="58"/>
        <v>99.999987425378848</v>
      </c>
      <c r="AF66" s="390">
        <f t="shared" si="58"/>
        <v>64.623999999999995</v>
      </c>
      <c r="AG66" s="550">
        <f t="shared" si="58"/>
        <v>99.999987552524331</v>
      </c>
      <c r="AH66" s="390">
        <f t="shared" si="58"/>
        <v>72.172000000000011</v>
      </c>
      <c r="AI66" s="551">
        <f>100*AH66/AH$66</f>
        <v>100</v>
      </c>
      <c r="AJ66" s="390">
        <f>AJ65+AJ38</f>
        <v>74.02</v>
      </c>
      <c r="AK66" s="551">
        <f>100*AJ66/AJ$66</f>
        <v>100</v>
      </c>
      <c r="AL66" s="552">
        <v>63.049000000000007</v>
      </c>
      <c r="AM66" s="551">
        <f t="shared" si="53"/>
        <v>100</v>
      </c>
      <c r="AN66" s="390">
        <f>AN65+AN38</f>
        <v>55.513999999999996</v>
      </c>
      <c r="AO66" s="551">
        <f>100*AN66/AN$66</f>
        <v>100</v>
      </c>
      <c r="AP66" s="390">
        <f>AP65+AP38</f>
        <v>59.388999999999989</v>
      </c>
      <c r="AQ66" s="551">
        <f>100*AP66/AP$66</f>
        <v>100</v>
      </c>
      <c r="AR66" s="390">
        <f>AR65+AR38</f>
        <v>65.36099999999999</v>
      </c>
      <c r="AS66" s="551">
        <f>100*AR66/AR$66</f>
        <v>100</v>
      </c>
      <c r="AT66" s="390">
        <f>AT65+AT38</f>
        <v>76.88900000000001</v>
      </c>
      <c r="AU66" s="551">
        <f>100*AT66/AT$66</f>
        <v>100</v>
      </c>
      <c r="AV66" s="390" t="e">
        <f>AV65+AV38</f>
        <v>#VALUE!</v>
      </c>
      <c r="AW66" s="551" t="e">
        <f>100*AV66/AV$66</f>
        <v>#VALUE!</v>
      </c>
      <c r="AX66" s="390">
        <f>AX65+AX38</f>
        <v>57.640000000000008</v>
      </c>
      <c r="AY66" s="551">
        <f>100*AX66/AX$66</f>
        <v>100</v>
      </c>
      <c r="AZ66" s="390">
        <f>AZ65+AZ38</f>
        <v>81.432000000000045</v>
      </c>
      <c r="BA66" s="551">
        <f>100*AZ66/AZ$66</f>
        <v>100</v>
      </c>
      <c r="BB66" s="390" t="e">
        <f>BB65+BB38</f>
        <v>#VALUE!</v>
      </c>
      <c r="BC66" s="553" t="e">
        <f>100*BB66/BB$66</f>
        <v>#VALUE!</v>
      </c>
    </row>
    <row r="67" spans="1:55" s="313" customFormat="1" ht="16.899999999999999" customHeight="1" thickTop="1">
      <c r="A67" s="554" t="s">
        <v>401</v>
      </c>
      <c r="B67" s="530"/>
      <c r="C67" s="530"/>
      <c r="D67" s="530"/>
      <c r="E67" s="530"/>
      <c r="F67" s="530"/>
      <c r="G67" s="530"/>
      <c r="H67" s="530"/>
      <c r="I67" s="530"/>
      <c r="J67" s="530"/>
      <c r="K67" s="530"/>
      <c r="L67" s="530"/>
      <c r="M67" s="524"/>
      <c r="N67" s="530"/>
      <c r="O67" s="530"/>
      <c r="P67" s="530"/>
      <c r="Q67" s="433"/>
      <c r="R67" s="433"/>
      <c r="S67" s="433"/>
      <c r="T67" s="433"/>
      <c r="U67" s="433"/>
      <c r="V67" s="433"/>
      <c r="W67" s="433"/>
      <c r="X67" s="433"/>
      <c r="Y67" s="433"/>
      <c r="Z67" s="433"/>
      <c r="AA67" s="433"/>
      <c r="AB67" s="433"/>
      <c r="AC67" s="433"/>
      <c r="AD67" s="337"/>
      <c r="AE67" s="433"/>
      <c r="AF67" s="337"/>
      <c r="AG67" s="555"/>
      <c r="AH67" s="337"/>
      <c r="AI67" s="555"/>
      <c r="AJ67" s="337"/>
      <c r="AK67" s="556"/>
      <c r="AL67" s="337"/>
      <c r="AM67" s="556"/>
      <c r="AN67" s="534"/>
      <c r="AO67" s="556"/>
      <c r="AP67" s="337"/>
      <c r="AQ67" s="556"/>
      <c r="AR67" s="534"/>
      <c r="AS67" s="556"/>
      <c r="AT67" s="534"/>
      <c r="AU67" s="556"/>
      <c r="AV67" s="534"/>
      <c r="AW67" s="555"/>
      <c r="AX67" s="534"/>
      <c r="AY67" s="556"/>
      <c r="AZ67" s="534"/>
      <c r="BA67" s="556"/>
      <c r="BB67" s="534"/>
      <c r="BC67" s="557"/>
    </row>
    <row r="68" spans="1:55" s="313" customFormat="1" ht="13.9" customHeight="1">
      <c r="A68" s="350" t="s">
        <v>411</v>
      </c>
      <c r="B68" s="487">
        <v>0.40400000000000003</v>
      </c>
      <c r="C68" s="489">
        <f>100*B68/B$76</f>
        <v>100.00000000000001</v>
      </c>
      <c r="D68" s="489">
        <v>0.252</v>
      </c>
      <c r="E68" s="489">
        <f>100*D68/D$76</f>
        <v>100</v>
      </c>
      <c r="F68" s="489">
        <v>0.42599999999999999</v>
      </c>
      <c r="G68" s="489">
        <f>100*F68/F$76</f>
        <v>100</v>
      </c>
      <c r="H68" s="489">
        <v>0.254</v>
      </c>
      <c r="I68" s="489">
        <f>100*H68/H$76</f>
        <v>100</v>
      </c>
      <c r="J68" s="489">
        <v>0.39800000000000002</v>
      </c>
      <c r="K68" s="489">
        <f>100*J68/J$76</f>
        <v>100</v>
      </c>
      <c r="L68" s="489">
        <v>0.78900000000000003</v>
      </c>
      <c r="M68" s="523">
        <f>100*L68/L$76</f>
        <v>100</v>
      </c>
      <c r="N68" s="489">
        <v>0.39800000000000002</v>
      </c>
      <c r="O68" s="489">
        <f>100*N68/N$76</f>
        <v>79.919678714859444</v>
      </c>
      <c r="P68" s="489">
        <v>0.70499999999999996</v>
      </c>
      <c r="Q68" s="490">
        <f>100*P68/P$76</f>
        <v>95.01347708894879</v>
      </c>
      <c r="R68" s="490">
        <v>0.72099999999999997</v>
      </c>
      <c r="S68" s="490">
        <f>100*R68/R$76</f>
        <v>98.632010943912448</v>
      </c>
      <c r="T68" s="490">
        <v>0.161</v>
      </c>
      <c r="U68" s="490">
        <f>100*T68/T$76</f>
        <v>75.943396226415103</v>
      </c>
      <c r="V68" s="490">
        <v>0.49099999999999999</v>
      </c>
      <c r="W68" s="490">
        <f>100*V68/V$76</f>
        <v>94.241842610364685</v>
      </c>
      <c r="X68" s="490">
        <v>0.46600000000000003</v>
      </c>
      <c r="Y68" s="490">
        <f>100*X68/X$76</f>
        <v>92.460317460317469</v>
      </c>
      <c r="Z68" s="490">
        <v>0.97299999999999998</v>
      </c>
      <c r="AA68" s="490">
        <f>100*Z68/Z$76</f>
        <v>97.105788423153683</v>
      </c>
      <c r="AB68" s="490">
        <v>0.30199999999999999</v>
      </c>
      <c r="AC68" s="490">
        <f>100*AB68/AB$76</f>
        <v>92.073170731707307</v>
      </c>
      <c r="AD68" s="492">
        <v>0.86199999999999999</v>
      </c>
      <c r="AE68" s="490">
        <f>100*AD68/AD$76</f>
        <v>95.459579180509408</v>
      </c>
      <c r="AF68" s="492">
        <v>0.41</v>
      </c>
      <c r="AG68" s="558">
        <f>100*AF68/AF$76</f>
        <v>72.56637168141593</v>
      </c>
      <c r="AH68" s="492">
        <v>0.47099999999999997</v>
      </c>
      <c r="AI68" s="558">
        <f>100*AH68/AH$76</f>
        <v>77.213114754098356</v>
      </c>
      <c r="AJ68" s="492">
        <v>0.58899999999999997</v>
      </c>
      <c r="AK68" s="558">
        <f>100*AJ68/AJ$76</f>
        <v>56.041864890580399</v>
      </c>
      <c r="AL68" s="492">
        <v>1.121</v>
      </c>
      <c r="AM68" s="493">
        <f>100*AL68/AL$76</f>
        <v>75.083724045545878</v>
      </c>
      <c r="AN68" s="491">
        <v>1.7390000000000001</v>
      </c>
      <c r="AO68" s="493">
        <v>93.494623655913983</v>
      </c>
      <c r="AP68" s="492">
        <v>2.8420000000000001</v>
      </c>
      <c r="AQ68" s="493">
        <v>89.483627204030213</v>
      </c>
      <c r="AR68" s="492">
        <v>4.5730000000000004</v>
      </c>
      <c r="AS68" s="493">
        <f>100*AR68/AR$76</f>
        <v>95.092534830526105</v>
      </c>
      <c r="AT68" s="492">
        <v>6.6120000000000001</v>
      </c>
      <c r="AU68" s="493">
        <f t="shared" ref="AU68:AU74" si="59">100*AT68/AT$76</f>
        <v>96.062763329943351</v>
      </c>
      <c r="AV68" s="492">
        <v>6.7839999999999998</v>
      </c>
      <c r="AW68" s="494">
        <f t="shared" ref="AW68:AW74" si="60">100*AV68/AV$76</f>
        <v>94.091539528432733</v>
      </c>
      <c r="AX68" s="495">
        <v>5.319</v>
      </c>
      <c r="AY68" s="496">
        <f t="shared" ref="AY68:AY74" si="61">100*AX68/AX$76</f>
        <v>93.776445698166413</v>
      </c>
      <c r="AZ68" s="495">
        <v>5.0590000000000002</v>
      </c>
      <c r="BA68" s="496">
        <f t="shared" ref="BA68:BA74" si="62">100*AZ68/AZ$76</f>
        <v>92.065514103730678</v>
      </c>
      <c r="BB68" s="495">
        <f>1.462+1.8+1.309+0</f>
        <v>4.5709999999999997</v>
      </c>
      <c r="BC68" s="497">
        <f t="shared" ref="BC68:BC75" si="63">100*BB68/BB$76</f>
        <v>91.768721140333241</v>
      </c>
    </row>
    <row r="69" spans="1:55" s="313" customFormat="1" ht="13.9" customHeight="1">
      <c r="A69" s="350" t="s">
        <v>87</v>
      </c>
      <c r="B69" s="487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523"/>
      <c r="N69" s="489"/>
      <c r="O69" s="489"/>
      <c r="P69" s="489"/>
      <c r="Q69" s="490"/>
      <c r="R69" s="490"/>
      <c r="S69" s="490"/>
      <c r="T69" s="490"/>
      <c r="U69" s="490"/>
      <c r="V69" s="490"/>
      <c r="W69" s="490"/>
      <c r="X69" s="490"/>
      <c r="Y69" s="490"/>
      <c r="Z69" s="490"/>
      <c r="AA69" s="490"/>
      <c r="AB69" s="490"/>
      <c r="AC69" s="490"/>
      <c r="AD69" s="492"/>
      <c r="AE69" s="490"/>
      <c r="AF69" s="492"/>
      <c r="AG69" s="558"/>
      <c r="AH69" s="492"/>
      <c r="AI69" s="558"/>
      <c r="AJ69" s="492"/>
      <c r="AK69" s="558"/>
      <c r="AL69" s="492"/>
      <c r="AM69" s="493"/>
      <c r="AN69" s="491"/>
      <c r="AO69" s="493"/>
      <c r="AP69" s="492"/>
      <c r="AQ69" s="493"/>
      <c r="AR69" s="492">
        <v>0</v>
      </c>
      <c r="AS69" s="493"/>
      <c r="AT69" s="492">
        <v>0</v>
      </c>
      <c r="AU69" s="493">
        <f t="shared" si="59"/>
        <v>0</v>
      </c>
      <c r="AV69" s="492">
        <v>0</v>
      </c>
      <c r="AW69" s="494">
        <f t="shared" si="60"/>
        <v>0</v>
      </c>
      <c r="AX69" s="495">
        <v>0</v>
      </c>
      <c r="AY69" s="496">
        <f t="shared" si="61"/>
        <v>0</v>
      </c>
      <c r="AZ69" s="495">
        <v>0</v>
      </c>
      <c r="BA69" s="496">
        <f t="shared" si="62"/>
        <v>0</v>
      </c>
      <c r="BB69" s="495">
        <v>0</v>
      </c>
      <c r="BC69" s="497">
        <f t="shared" si="63"/>
        <v>0</v>
      </c>
    </row>
    <row r="70" spans="1:55" s="313" customFormat="1" ht="13.9" customHeight="1">
      <c r="A70" s="350" t="s">
        <v>88</v>
      </c>
      <c r="B70" s="487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523"/>
      <c r="N70" s="489">
        <v>0.1</v>
      </c>
      <c r="O70" s="488">
        <f>100*N70/N$76</f>
        <v>20.080321285140563</v>
      </c>
      <c r="P70" s="489">
        <v>3.6999999999999998E-2</v>
      </c>
      <c r="Q70" s="488">
        <f>100*P70/P$76</f>
        <v>4.986522911051213</v>
      </c>
      <c r="R70" s="490">
        <v>0.01</v>
      </c>
      <c r="S70" s="488">
        <f>100*R70/R$76</f>
        <v>1.3679890560875514</v>
      </c>
      <c r="T70" s="490">
        <v>5.0999999999999997E-2</v>
      </c>
      <c r="U70" s="488">
        <f>100*T70/T$76</f>
        <v>24.056603773584904</v>
      </c>
      <c r="V70" s="490">
        <v>0.03</v>
      </c>
      <c r="W70" s="488">
        <f>100*V70/V$76</f>
        <v>5.7581573896353166</v>
      </c>
      <c r="X70" s="490">
        <v>2.8000000000000001E-2</v>
      </c>
      <c r="Y70" s="488">
        <f>100*X70/X$76</f>
        <v>5.5555555555555562</v>
      </c>
      <c r="Z70" s="490">
        <v>2.4E-2</v>
      </c>
      <c r="AA70" s="488">
        <f>100*Z70/Z$76</f>
        <v>2.3952095808383231</v>
      </c>
      <c r="AB70" s="490">
        <v>1.4999999999999999E-2</v>
      </c>
      <c r="AC70" s="488">
        <f>100*AB70/AB$76</f>
        <v>4.5731707317073171</v>
      </c>
      <c r="AD70" s="491">
        <v>3.4000000000000002E-2</v>
      </c>
      <c r="AE70" s="488">
        <f>100*AD70/AD$76</f>
        <v>3.7652270210409746</v>
      </c>
      <c r="AF70" s="492">
        <v>0.155</v>
      </c>
      <c r="AG70" s="493">
        <f>100*AF70/AF$76</f>
        <v>27.433628318584073</v>
      </c>
      <c r="AH70" s="492">
        <v>0.127</v>
      </c>
      <c r="AI70" s="493">
        <f>100*AH70/AH$76</f>
        <v>20.819672131147541</v>
      </c>
      <c r="AJ70" s="492">
        <v>0.45200000000000001</v>
      </c>
      <c r="AK70" s="493">
        <f>100*AJ70/AJ$76</f>
        <v>43.006660323501436</v>
      </c>
      <c r="AL70" s="491">
        <v>0.29599999999999999</v>
      </c>
      <c r="AM70" s="493">
        <f>100*AL70/AL$76</f>
        <v>19.825853985264565</v>
      </c>
      <c r="AN70" s="491">
        <v>5.2999999999999999E-2</v>
      </c>
      <c r="AO70" s="493">
        <v>2.849462365591398</v>
      </c>
      <c r="AP70" s="492"/>
      <c r="AQ70" s="493"/>
      <c r="AR70" s="492">
        <v>0</v>
      </c>
      <c r="AS70" s="493"/>
      <c r="AT70" s="492">
        <v>0</v>
      </c>
      <c r="AU70" s="493">
        <f t="shared" si="59"/>
        <v>0</v>
      </c>
      <c r="AV70" s="492">
        <v>0</v>
      </c>
      <c r="AW70" s="494">
        <f t="shared" si="60"/>
        <v>0</v>
      </c>
      <c r="AX70" s="495">
        <v>0</v>
      </c>
      <c r="AY70" s="496">
        <f t="shared" si="61"/>
        <v>0</v>
      </c>
      <c r="AZ70" s="495">
        <v>0</v>
      </c>
      <c r="BA70" s="496">
        <f t="shared" si="62"/>
        <v>0</v>
      </c>
      <c r="BB70" s="495">
        <v>0</v>
      </c>
      <c r="BC70" s="497">
        <f t="shared" si="63"/>
        <v>0</v>
      </c>
    </row>
    <row r="71" spans="1:55" s="313" customFormat="1" ht="13.9" customHeight="1">
      <c r="A71" s="350" t="s">
        <v>131</v>
      </c>
      <c r="B71" s="487"/>
      <c r="C71" s="489"/>
      <c r="D71" s="489"/>
      <c r="E71" s="489"/>
      <c r="F71" s="489"/>
      <c r="G71" s="489"/>
      <c r="H71" s="489"/>
      <c r="I71" s="489"/>
      <c r="J71" s="489"/>
      <c r="K71" s="489"/>
      <c r="L71" s="489"/>
      <c r="M71" s="523"/>
      <c r="N71" s="489"/>
      <c r="O71" s="489"/>
      <c r="P71" s="489"/>
      <c r="Q71" s="490"/>
      <c r="R71" s="490"/>
      <c r="S71" s="490"/>
      <c r="T71" s="490"/>
      <c r="U71" s="490"/>
      <c r="V71" s="490"/>
      <c r="W71" s="490"/>
      <c r="X71" s="490"/>
      <c r="Y71" s="490"/>
      <c r="Z71" s="490">
        <v>5.0000000000000001E-3</v>
      </c>
      <c r="AA71" s="488">
        <f>100*Z71/Z$76</f>
        <v>0.49900199600798401</v>
      </c>
      <c r="AB71" s="490">
        <v>1.0999999999999999E-2</v>
      </c>
      <c r="AC71" s="488">
        <f>100*AB71/AB$76</f>
        <v>3.3536585365853653</v>
      </c>
      <c r="AD71" s="491">
        <v>7.0000000000000001E-3</v>
      </c>
      <c r="AE71" s="488">
        <f>100*AD71/AD$76</f>
        <v>0.77519379844961245</v>
      </c>
      <c r="AF71" s="492"/>
      <c r="AG71" s="493"/>
      <c r="AH71" s="492">
        <v>1.2E-2</v>
      </c>
      <c r="AI71" s="493">
        <f>100*AH71/AH$76</f>
        <v>1.9672131147540983</v>
      </c>
      <c r="AJ71" s="492">
        <v>0.01</v>
      </c>
      <c r="AK71" s="493">
        <f>100*AJ71/AJ$76</f>
        <v>0.95147478591817325</v>
      </c>
      <c r="AL71" s="491">
        <v>2.4E-2</v>
      </c>
      <c r="AM71" s="493">
        <f>100*AL71/AL$76</f>
        <v>1.6075016744809107</v>
      </c>
      <c r="AN71" s="491">
        <v>1.6E-2</v>
      </c>
      <c r="AO71" s="493">
        <v>0.86021505376344098</v>
      </c>
      <c r="AP71" s="492">
        <v>2.3E-2</v>
      </c>
      <c r="AQ71" s="493">
        <v>0.72418136020151125</v>
      </c>
      <c r="AR71" s="492">
        <v>1.0999999999999999E-2</v>
      </c>
      <c r="AS71" s="493">
        <f>100*AR71/AR$76</f>
        <v>0.22873778332293612</v>
      </c>
      <c r="AT71" s="492">
        <v>1.2E-2</v>
      </c>
      <c r="AU71" s="493">
        <f t="shared" si="59"/>
        <v>0.17434258317594073</v>
      </c>
      <c r="AV71" s="492">
        <v>1.4E-2</v>
      </c>
      <c r="AW71" s="494">
        <f t="shared" si="60"/>
        <v>0.19417475728155342</v>
      </c>
      <c r="AX71" s="495">
        <v>2.5000000000000001E-2</v>
      </c>
      <c r="AY71" s="496">
        <f t="shared" si="61"/>
        <v>0.44076163610719321</v>
      </c>
      <c r="AZ71" s="495">
        <v>2.8000000000000001E-2</v>
      </c>
      <c r="BA71" s="496">
        <f t="shared" si="62"/>
        <v>0.50955414012738864</v>
      </c>
      <c r="BB71" s="495">
        <v>1.4E-2</v>
      </c>
      <c r="BC71" s="497">
        <f t="shared" si="63"/>
        <v>0.28106805862276651</v>
      </c>
    </row>
    <row r="72" spans="1:55" s="313" customFormat="1" ht="13.9" customHeight="1">
      <c r="A72" s="350" t="s">
        <v>99</v>
      </c>
      <c r="B72" s="487"/>
      <c r="C72" s="489"/>
      <c r="D72" s="489"/>
      <c r="E72" s="489"/>
      <c r="F72" s="489"/>
      <c r="G72" s="489"/>
      <c r="H72" s="489"/>
      <c r="I72" s="489"/>
      <c r="J72" s="489"/>
      <c r="K72" s="489"/>
      <c r="L72" s="489"/>
      <c r="M72" s="523"/>
      <c r="N72" s="489"/>
      <c r="O72" s="489"/>
      <c r="P72" s="489"/>
      <c r="Q72" s="490"/>
      <c r="R72" s="490"/>
      <c r="S72" s="490"/>
      <c r="T72" s="490"/>
      <c r="U72" s="490"/>
      <c r="V72" s="490"/>
      <c r="W72" s="490"/>
      <c r="X72" s="490">
        <v>0.01</v>
      </c>
      <c r="Y72" s="488">
        <f>100*X72/X$76</f>
        <v>1.9841269841269842</v>
      </c>
      <c r="Z72" s="490"/>
      <c r="AA72" s="490">
        <v>0</v>
      </c>
      <c r="AB72" s="490"/>
      <c r="AC72" s="490"/>
      <c r="AD72" s="492"/>
      <c r="AE72" s="490"/>
      <c r="AF72" s="492"/>
      <c r="AG72" s="558"/>
      <c r="AH72" s="492"/>
      <c r="AI72" s="558"/>
      <c r="AJ72" s="492"/>
      <c r="AK72" s="558"/>
      <c r="AL72" s="492"/>
      <c r="AM72" s="493"/>
      <c r="AN72" s="491"/>
      <c r="AO72" s="493"/>
      <c r="AP72" s="492"/>
      <c r="AQ72" s="493"/>
      <c r="AR72" s="492">
        <v>0</v>
      </c>
      <c r="AS72" s="493"/>
      <c r="AT72" s="492">
        <v>0</v>
      </c>
      <c r="AU72" s="493">
        <f t="shared" si="59"/>
        <v>0</v>
      </c>
      <c r="AV72" s="492">
        <v>0</v>
      </c>
      <c r="AW72" s="494">
        <f t="shared" si="60"/>
        <v>0</v>
      </c>
      <c r="AX72" s="495">
        <v>0</v>
      </c>
      <c r="AY72" s="496">
        <f t="shared" si="61"/>
        <v>0</v>
      </c>
      <c r="AZ72" s="495">
        <v>0</v>
      </c>
      <c r="BA72" s="496">
        <f t="shared" si="62"/>
        <v>0</v>
      </c>
      <c r="BB72" s="495">
        <v>0</v>
      </c>
      <c r="BC72" s="497">
        <f t="shared" si="63"/>
        <v>0</v>
      </c>
    </row>
    <row r="73" spans="1:55" s="313" customFormat="1" ht="13.9" customHeight="1">
      <c r="A73" s="350" t="s">
        <v>252</v>
      </c>
      <c r="B73" s="487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523"/>
      <c r="N73" s="489"/>
      <c r="O73" s="489"/>
      <c r="P73" s="489"/>
      <c r="Q73" s="490"/>
      <c r="R73" s="490"/>
      <c r="S73" s="490"/>
      <c r="T73" s="490"/>
      <c r="U73" s="490"/>
      <c r="V73" s="490"/>
      <c r="W73" s="490"/>
      <c r="X73" s="490"/>
      <c r="Y73" s="488"/>
      <c r="Z73" s="490"/>
      <c r="AA73" s="490"/>
      <c r="AB73" s="490"/>
      <c r="AC73" s="490"/>
      <c r="AD73" s="492"/>
      <c r="AE73" s="490"/>
      <c r="AF73" s="492"/>
      <c r="AG73" s="558"/>
      <c r="AH73" s="492"/>
      <c r="AI73" s="558"/>
      <c r="AJ73" s="492"/>
      <c r="AK73" s="558"/>
      <c r="AL73" s="492"/>
      <c r="AM73" s="493"/>
      <c r="AN73" s="491">
        <v>5.0999999999999997E-2</v>
      </c>
      <c r="AO73" s="493"/>
      <c r="AP73" s="492">
        <v>0.23300000000000001</v>
      </c>
      <c r="AQ73" s="493"/>
      <c r="AR73" s="492">
        <v>3.1E-2</v>
      </c>
      <c r="AS73" s="493"/>
      <c r="AT73" s="492">
        <v>6.2E-2</v>
      </c>
      <c r="AU73" s="493">
        <f t="shared" si="59"/>
        <v>0.90077001307569371</v>
      </c>
      <c r="AV73" s="492">
        <v>6.2E-2</v>
      </c>
      <c r="AW73" s="494">
        <f t="shared" si="60"/>
        <v>0.8599167822468794</v>
      </c>
      <c r="AX73" s="495">
        <v>0.05</v>
      </c>
      <c r="AY73" s="496">
        <f t="shared" si="61"/>
        <v>0.88152327221438642</v>
      </c>
      <c r="AZ73" s="495">
        <v>0.02</v>
      </c>
      <c r="BA73" s="496">
        <f t="shared" si="62"/>
        <v>0.36396724294813471</v>
      </c>
      <c r="BB73" s="495">
        <v>6.4000000000000001E-2</v>
      </c>
      <c r="BC73" s="497">
        <f t="shared" si="63"/>
        <v>1.2848825537040753</v>
      </c>
    </row>
    <row r="74" spans="1:55" s="313" customFormat="1" ht="13.9" customHeight="1">
      <c r="A74" s="350" t="s">
        <v>253</v>
      </c>
      <c r="B74" s="487"/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523"/>
      <c r="N74" s="489"/>
      <c r="O74" s="489"/>
      <c r="P74" s="489"/>
      <c r="Q74" s="490"/>
      <c r="R74" s="490"/>
      <c r="S74" s="490"/>
      <c r="T74" s="490"/>
      <c r="U74" s="490"/>
      <c r="V74" s="490"/>
      <c r="W74" s="490"/>
      <c r="X74" s="490"/>
      <c r="Y74" s="488"/>
      <c r="Z74" s="490"/>
      <c r="AA74" s="490"/>
      <c r="AB74" s="490"/>
      <c r="AC74" s="490"/>
      <c r="AD74" s="492"/>
      <c r="AE74" s="490"/>
      <c r="AF74" s="492"/>
      <c r="AG74" s="558"/>
      <c r="AH74" s="492"/>
      <c r="AI74" s="558"/>
      <c r="AJ74" s="492"/>
      <c r="AK74" s="558"/>
      <c r="AL74" s="492">
        <v>5.1999999999999998E-2</v>
      </c>
      <c r="AM74" s="493">
        <f>100*AL74/AL$76</f>
        <v>3.4829202947086402</v>
      </c>
      <c r="AN74" s="491">
        <v>1E-3</v>
      </c>
      <c r="AO74" s="493">
        <v>5.3763440860215062E-2</v>
      </c>
      <c r="AP74" s="492">
        <v>7.8E-2</v>
      </c>
      <c r="AQ74" s="493">
        <v>2.4559193954659948</v>
      </c>
      <c r="AR74" s="492">
        <v>0.19400000000000001</v>
      </c>
      <c r="AS74" s="493">
        <f>100*AR74/AR$76</f>
        <v>4.0341027240590561</v>
      </c>
      <c r="AT74" s="492">
        <v>0.19700000000000001</v>
      </c>
      <c r="AU74" s="493">
        <f t="shared" si="59"/>
        <v>2.8621240738050266</v>
      </c>
      <c r="AV74" s="492">
        <v>0.35</v>
      </c>
      <c r="AW74" s="494">
        <f t="shared" si="60"/>
        <v>4.8543689320388346</v>
      </c>
      <c r="AX74" s="495">
        <v>0.27800000000000002</v>
      </c>
      <c r="AY74" s="496">
        <f t="shared" si="61"/>
        <v>4.9012693935119893</v>
      </c>
      <c r="AZ74" s="495">
        <v>0.38800000000000001</v>
      </c>
      <c r="BA74" s="496">
        <f t="shared" si="62"/>
        <v>7.0609645131938139</v>
      </c>
      <c r="BB74" s="495">
        <v>0.24299999999999999</v>
      </c>
      <c r="BC74" s="497">
        <f t="shared" si="63"/>
        <v>4.8785384460951606</v>
      </c>
    </row>
    <row r="75" spans="1:55" s="313" customFormat="1" ht="13.9" customHeight="1">
      <c r="A75" s="559" t="s">
        <v>394</v>
      </c>
      <c r="B75" s="560"/>
      <c r="C75" s="560"/>
      <c r="D75" s="560"/>
      <c r="E75" s="560"/>
      <c r="F75" s="560"/>
      <c r="G75" s="560"/>
      <c r="H75" s="560"/>
      <c r="I75" s="560"/>
      <c r="J75" s="560"/>
      <c r="K75" s="560"/>
      <c r="L75" s="560"/>
      <c r="M75" s="561"/>
      <c r="N75" s="560"/>
      <c r="O75" s="560"/>
      <c r="P75" s="560"/>
      <c r="Q75" s="562"/>
      <c r="R75" s="562"/>
      <c r="S75" s="562"/>
      <c r="T75" s="562"/>
      <c r="U75" s="562"/>
      <c r="V75" s="433"/>
      <c r="W75" s="433"/>
      <c r="X75" s="433"/>
      <c r="Y75" s="531"/>
      <c r="Z75" s="433"/>
      <c r="AA75" s="433"/>
      <c r="AB75" s="433"/>
      <c r="AC75" s="433"/>
      <c r="AD75" s="563"/>
      <c r="AE75" s="562"/>
      <c r="AF75" s="563"/>
      <c r="AG75" s="564"/>
      <c r="AH75" s="563"/>
      <c r="AI75" s="564"/>
      <c r="AJ75" s="563"/>
      <c r="AK75" s="564"/>
      <c r="AL75" s="563"/>
      <c r="AM75" s="565"/>
      <c r="AN75" s="566"/>
      <c r="AO75" s="565"/>
      <c r="AP75" s="563"/>
      <c r="AQ75" s="565"/>
      <c r="AR75" s="563"/>
      <c r="AS75" s="565"/>
      <c r="AT75" s="563"/>
      <c r="AU75" s="533"/>
      <c r="AV75" s="563"/>
      <c r="AW75" s="533"/>
      <c r="AX75" s="567"/>
      <c r="AY75" s="535"/>
      <c r="AZ75" s="567"/>
      <c r="BA75" s="535"/>
      <c r="BB75" s="567">
        <v>8.8999999999999996E-2</v>
      </c>
      <c r="BC75" s="540">
        <f t="shared" si="63"/>
        <v>1.7867898012447299</v>
      </c>
    </row>
    <row r="76" spans="1:55" s="335" customFormat="1" ht="13.9" customHeight="1">
      <c r="A76" s="368" t="s">
        <v>141</v>
      </c>
      <c r="B76" s="514">
        <f t="shared" ref="B76:AG76" si="64">SUM(B68:B72)</f>
        <v>0.40400000000000003</v>
      </c>
      <c r="C76" s="568">
        <f t="shared" si="64"/>
        <v>100.00000000000001</v>
      </c>
      <c r="D76" s="514">
        <f t="shared" si="64"/>
        <v>0.252</v>
      </c>
      <c r="E76" s="568">
        <f t="shared" si="64"/>
        <v>100</v>
      </c>
      <c r="F76" s="514">
        <f t="shared" si="64"/>
        <v>0.42599999999999999</v>
      </c>
      <c r="G76" s="568">
        <f t="shared" si="64"/>
        <v>100</v>
      </c>
      <c r="H76" s="514">
        <f t="shared" si="64"/>
        <v>0.254</v>
      </c>
      <c r="I76" s="568">
        <f t="shared" si="64"/>
        <v>100</v>
      </c>
      <c r="J76" s="514">
        <f t="shared" si="64"/>
        <v>0.39800000000000002</v>
      </c>
      <c r="K76" s="568">
        <f t="shared" si="64"/>
        <v>100</v>
      </c>
      <c r="L76" s="514">
        <f t="shared" si="64"/>
        <v>0.78900000000000003</v>
      </c>
      <c r="M76" s="568">
        <f t="shared" si="64"/>
        <v>100</v>
      </c>
      <c r="N76" s="514">
        <f t="shared" si="64"/>
        <v>0.498</v>
      </c>
      <c r="O76" s="568">
        <f t="shared" si="64"/>
        <v>100</v>
      </c>
      <c r="P76" s="514">
        <f t="shared" si="64"/>
        <v>0.74199999999999999</v>
      </c>
      <c r="Q76" s="568">
        <f t="shared" si="64"/>
        <v>100</v>
      </c>
      <c r="R76" s="514">
        <f t="shared" si="64"/>
        <v>0.73099999999999998</v>
      </c>
      <c r="S76" s="568">
        <f t="shared" si="64"/>
        <v>100</v>
      </c>
      <c r="T76" s="516">
        <f t="shared" si="64"/>
        <v>0.21199999999999999</v>
      </c>
      <c r="U76" s="568">
        <f t="shared" si="64"/>
        <v>100</v>
      </c>
      <c r="V76" s="569">
        <f t="shared" si="64"/>
        <v>0.52100000000000002</v>
      </c>
      <c r="W76" s="570">
        <f t="shared" si="64"/>
        <v>100</v>
      </c>
      <c r="X76" s="569">
        <f t="shared" si="64"/>
        <v>0.504</v>
      </c>
      <c r="Y76" s="570">
        <f t="shared" si="64"/>
        <v>100.00000000000001</v>
      </c>
      <c r="Z76" s="569">
        <f t="shared" si="64"/>
        <v>1.002</v>
      </c>
      <c r="AA76" s="570">
        <f t="shared" si="64"/>
        <v>100</v>
      </c>
      <c r="AB76" s="569">
        <f t="shared" si="64"/>
        <v>0.32800000000000001</v>
      </c>
      <c r="AC76" s="570">
        <f t="shared" si="64"/>
        <v>100</v>
      </c>
      <c r="AD76" s="514">
        <f t="shared" si="64"/>
        <v>0.90300000000000002</v>
      </c>
      <c r="AE76" s="568">
        <f t="shared" si="64"/>
        <v>99.999999999999986</v>
      </c>
      <c r="AF76" s="514">
        <f t="shared" si="64"/>
        <v>0.56499999999999995</v>
      </c>
      <c r="AG76" s="571">
        <f t="shared" si="64"/>
        <v>100</v>
      </c>
      <c r="AH76" s="514">
        <f>SUM(AH68:AH73)</f>
        <v>0.61</v>
      </c>
      <c r="AI76" s="571">
        <f>SUM(AI68:AI72)</f>
        <v>100</v>
      </c>
      <c r="AJ76" s="514">
        <f>SUM(AJ68:AJ73)</f>
        <v>1.0509999999999999</v>
      </c>
      <c r="AK76" s="572">
        <f>SUM(AK68:AK72)</f>
        <v>100.00000000000001</v>
      </c>
      <c r="AL76" s="514">
        <v>1.4930000000000001</v>
      </c>
      <c r="AM76" s="572">
        <f>SUM(AM68:AM74)</f>
        <v>100</v>
      </c>
      <c r="AN76" s="514">
        <f>SUM(AN68:AN74)</f>
        <v>1.8599999999999999</v>
      </c>
      <c r="AO76" s="572">
        <f>SUM(AO68:AO74)</f>
        <v>97.258064516129025</v>
      </c>
      <c r="AP76" s="514">
        <v>3.1760000000000002</v>
      </c>
      <c r="AQ76" s="572">
        <v>92.663727959697724</v>
      </c>
      <c r="AR76" s="516">
        <f t="shared" ref="AR76:BA76" si="65">SUM(AR68:AR74)</f>
        <v>4.8090000000000002</v>
      </c>
      <c r="AS76" s="572">
        <f t="shared" si="65"/>
        <v>99.3553753379081</v>
      </c>
      <c r="AT76" s="516">
        <f t="shared" si="65"/>
        <v>6.883</v>
      </c>
      <c r="AU76" s="572">
        <f t="shared" si="65"/>
        <v>100.00000000000001</v>
      </c>
      <c r="AV76" s="516">
        <f t="shared" si="65"/>
        <v>7.21</v>
      </c>
      <c r="AW76" s="571">
        <f t="shared" si="65"/>
        <v>100.00000000000001</v>
      </c>
      <c r="AX76" s="369">
        <f t="shared" si="65"/>
        <v>5.6720000000000006</v>
      </c>
      <c r="AY76" s="572">
        <f t="shared" si="65"/>
        <v>99.999999999999986</v>
      </c>
      <c r="AZ76" s="369">
        <f t="shared" si="65"/>
        <v>5.4949999999999992</v>
      </c>
      <c r="BA76" s="572">
        <f t="shared" si="65"/>
        <v>100.00000000000001</v>
      </c>
      <c r="BB76" s="369">
        <f>SUM(BB68:BB75)</f>
        <v>4.9810000000000008</v>
      </c>
      <c r="BC76" s="573">
        <f>SUM(BC68:BC75)</f>
        <v>99.999999999999972</v>
      </c>
    </row>
    <row r="77" spans="1:55" s="335" customFormat="1" ht="18.399999999999999" customHeight="1" thickBot="1">
      <c r="A77" s="574" t="s">
        <v>346</v>
      </c>
      <c r="B77" s="575">
        <f>B76+B66</f>
        <v>48.123000000000005</v>
      </c>
      <c r="C77" s="576"/>
      <c r="D77" s="575">
        <f>D76+D66</f>
        <v>46.101999999999997</v>
      </c>
      <c r="E77" s="576"/>
      <c r="F77" s="575">
        <f>F76+F66</f>
        <v>42.633999999999993</v>
      </c>
      <c r="G77" s="576"/>
      <c r="H77" s="575">
        <f>H76+H66</f>
        <v>41.888999999999989</v>
      </c>
      <c r="I77" s="576"/>
      <c r="J77" s="575">
        <f>J76+J66</f>
        <v>40.483599999999981</v>
      </c>
      <c r="K77" s="576"/>
      <c r="L77" s="575">
        <f>L76+L66</f>
        <v>30.157999999999998</v>
      </c>
      <c r="M77" s="575"/>
      <c r="N77" s="575">
        <f>N76+N66</f>
        <v>21.954999999999998</v>
      </c>
      <c r="O77" s="576"/>
      <c r="P77" s="575">
        <f>P76+P66</f>
        <v>18.907</v>
      </c>
      <c r="Q77" s="577"/>
      <c r="R77" s="575">
        <f>R76+R66</f>
        <v>20.135000000000005</v>
      </c>
      <c r="S77" s="577"/>
      <c r="T77" s="575">
        <f>T76+T66</f>
        <v>21.503</v>
      </c>
      <c r="U77" s="577"/>
      <c r="V77" s="575">
        <f>V76+V66</f>
        <v>24.482000000000006</v>
      </c>
      <c r="W77" s="577"/>
      <c r="X77" s="575">
        <f>X76+X66</f>
        <v>34.813999999999993</v>
      </c>
      <c r="Y77" s="577"/>
      <c r="Z77" s="575" t="e">
        <f>Z76+Z66</f>
        <v>#VALUE!</v>
      </c>
      <c r="AA77" s="577"/>
      <c r="AB77" s="575">
        <f>AB76+AB66</f>
        <v>47.065000000000005</v>
      </c>
      <c r="AC77" s="577"/>
      <c r="AD77" s="427">
        <v>48.22</v>
      </c>
      <c r="AE77" s="577"/>
      <c r="AF77" s="575">
        <f>AF76+AF66</f>
        <v>65.188999999999993</v>
      </c>
      <c r="AG77" s="578"/>
      <c r="AH77" s="575">
        <f>AH76+AH66</f>
        <v>72.782000000000011</v>
      </c>
      <c r="AI77" s="578"/>
      <c r="AJ77" s="575">
        <f>AJ76+AJ66</f>
        <v>75.070999999999998</v>
      </c>
      <c r="AK77" s="579"/>
      <c r="AL77" s="575">
        <v>64.542000000000002</v>
      </c>
      <c r="AM77" s="579"/>
      <c r="AN77" s="575">
        <f>AN76+AN66</f>
        <v>57.373999999999995</v>
      </c>
      <c r="AO77" s="579"/>
      <c r="AP77" s="575">
        <v>62.564999999999991</v>
      </c>
      <c r="AQ77" s="579"/>
      <c r="AR77" s="580">
        <f>AR76+AR66</f>
        <v>70.169999999999987</v>
      </c>
      <c r="AS77" s="579"/>
      <c r="AT77" s="580">
        <f>AT76+AT66</f>
        <v>83.772000000000006</v>
      </c>
      <c r="AU77" s="579"/>
      <c r="AV77" s="580" t="e">
        <f>AV76+AV66</f>
        <v>#VALUE!</v>
      </c>
      <c r="AW77" s="578"/>
      <c r="AX77" s="581">
        <f>AX76+AX66</f>
        <v>63.312000000000012</v>
      </c>
      <c r="AY77" s="579"/>
      <c r="AZ77" s="581">
        <f>AZ76+AZ66</f>
        <v>86.927000000000049</v>
      </c>
      <c r="BA77" s="579"/>
      <c r="BB77" s="581" t="e">
        <f>BB76+BB66</f>
        <v>#VALUE!</v>
      </c>
      <c r="BC77" s="582"/>
    </row>
  </sheetData>
  <mergeCells count="30">
    <mergeCell ref="A1:BC1"/>
    <mergeCell ref="A2:BC2"/>
    <mergeCell ref="A3:A4"/>
    <mergeCell ref="B3:C3"/>
    <mergeCell ref="D3:E3"/>
    <mergeCell ref="F3:G3"/>
    <mergeCell ref="H3:I3"/>
    <mergeCell ref="J3:K3"/>
    <mergeCell ref="L3:M3"/>
    <mergeCell ref="N3:O3"/>
    <mergeCell ref="AL3:AM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Z3:BA3"/>
    <mergeCell ref="BB3:BC3"/>
    <mergeCell ref="AN3:AO3"/>
    <mergeCell ref="AP3:AQ3"/>
    <mergeCell ref="AR3:AS3"/>
    <mergeCell ref="AT3:AU3"/>
    <mergeCell ref="AV3:AW3"/>
    <mergeCell ref="AX3:AY3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95" firstPageNumber="10" orientation="portrait" useFirstPageNumber="1" r:id="rId1"/>
  <headerFooter alignWithMargins="0">
    <oddFooter>&amp;C&amp;"Arial Narrow,Regular"&amp;12 5.&amp;P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00B050"/>
  </sheetPr>
  <dimension ref="A1:P23"/>
  <sheetViews>
    <sheetView zoomScaleNormal="100" zoomScaleSheetLayoutView="100" workbookViewId="0">
      <selection activeCell="T45" sqref="T45"/>
    </sheetView>
  </sheetViews>
  <sheetFormatPr defaultColWidth="9.140625" defaultRowHeight="12.75"/>
  <cols>
    <col min="1" max="1" width="9.85546875" style="171" customWidth="1"/>
    <col min="2" max="2" width="7.42578125" style="205" bestFit="1" customWidth="1"/>
    <col min="3" max="3" width="8.85546875" style="205" bestFit="1" customWidth="1"/>
    <col min="4" max="4" width="6.7109375" style="223" bestFit="1" customWidth="1"/>
    <col min="5" max="5" width="6.7109375" style="205" bestFit="1" customWidth="1"/>
    <col min="6" max="6" width="9" style="205" bestFit="1" customWidth="1"/>
    <col min="7" max="7" width="6.5703125" style="223" customWidth="1"/>
    <col min="8" max="8" width="7.42578125" style="205" bestFit="1" customWidth="1"/>
    <col min="9" max="9" width="8.85546875" style="205" bestFit="1" customWidth="1"/>
    <col min="10" max="10" width="6.7109375" style="223" bestFit="1" customWidth="1"/>
    <col min="11" max="11" width="7.42578125" style="597" bestFit="1" customWidth="1"/>
    <col min="12" max="12" width="9.140625" style="205" customWidth="1"/>
    <col min="13" max="13" width="6.7109375" style="223" bestFit="1" customWidth="1"/>
    <col min="14" max="14" width="5.7109375" style="205" hidden="1" customWidth="1"/>
    <col min="15" max="15" width="7" style="205" hidden="1" customWidth="1"/>
    <col min="16" max="16" width="6.7109375" style="223" hidden="1" customWidth="1"/>
    <col min="17" max="16384" width="9.140625" style="171"/>
  </cols>
  <sheetData>
    <row r="1" spans="1:16" s="191" customFormat="1" ht="19.149999999999999" customHeight="1">
      <c r="A1" s="1556" t="s">
        <v>554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  <c r="N1" s="764"/>
      <c r="O1" s="764"/>
      <c r="P1" s="765"/>
    </row>
    <row r="2" spans="1:16" s="162" customFormat="1" ht="16.5">
      <c r="A2" s="1586" t="s">
        <v>417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8"/>
      <c r="N2" s="963"/>
      <c r="O2" s="963"/>
      <c r="P2" s="964"/>
    </row>
    <row r="3" spans="1:16" s="168" customFormat="1" ht="17.25" customHeight="1">
      <c r="A3" s="1578" t="s">
        <v>316</v>
      </c>
      <c r="B3" s="1564" t="s">
        <v>118</v>
      </c>
      <c r="C3" s="1564"/>
      <c r="D3" s="1565"/>
      <c r="E3" s="1616" t="s">
        <v>120</v>
      </c>
      <c r="F3" s="1598"/>
      <c r="G3" s="1565"/>
      <c r="H3" s="1616" t="s">
        <v>376</v>
      </c>
      <c r="I3" s="1598"/>
      <c r="J3" s="1565"/>
      <c r="K3" s="1616" t="s">
        <v>119</v>
      </c>
      <c r="L3" s="1598"/>
      <c r="M3" s="1603"/>
      <c r="N3" s="1613" t="s">
        <v>11</v>
      </c>
      <c r="O3" s="1614"/>
      <c r="P3" s="1615"/>
    </row>
    <row r="4" spans="1:16" s="168" customFormat="1" ht="17.25" customHeight="1">
      <c r="A4" s="1601"/>
      <c r="B4" s="1150" t="s">
        <v>24</v>
      </c>
      <c r="C4" s="1155" t="s">
        <v>191</v>
      </c>
      <c r="D4" s="1155" t="s">
        <v>192</v>
      </c>
      <c r="E4" s="1150" t="s">
        <v>24</v>
      </c>
      <c r="F4" s="1155" t="s">
        <v>191</v>
      </c>
      <c r="G4" s="1155" t="s">
        <v>192</v>
      </c>
      <c r="H4" s="1150" t="s">
        <v>24</v>
      </c>
      <c r="I4" s="1155" t="s">
        <v>191</v>
      </c>
      <c r="J4" s="1155" t="s">
        <v>192</v>
      </c>
      <c r="K4" s="1150" t="s">
        <v>24</v>
      </c>
      <c r="L4" s="1155" t="s">
        <v>191</v>
      </c>
      <c r="M4" s="1159" t="s">
        <v>192</v>
      </c>
      <c r="N4" s="965" t="s">
        <v>117</v>
      </c>
      <c r="O4" s="966" t="s">
        <v>191</v>
      </c>
      <c r="P4" s="967" t="s">
        <v>192</v>
      </c>
    </row>
    <row r="5" spans="1:16" ht="17.649999999999999" customHeight="1">
      <c r="A5" s="1122" t="s">
        <v>162</v>
      </c>
      <c r="B5" s="946" t="s">
        <v>163</v>
      </c>
      <c r="C5" s="946" t="s">
        <v>164</v>
      </c>
      <c r="D5" s="946" t="s">
        <v>165</v>
      </c>
      <c r="E5" s="946" t="s">
        <v>166</v>
      </c>
      <c r="F5" s="946" t="s">
        <v>167</v>
      </c>
      <c r="G5" s="946" t="s">
        <v>168</v>
      </c>
      <c r="H5" s="946" t="s">
        <v>169</v>
      </c>
      <c r="I5" s="946" t="s">
        <v>170</v>
      </c>
      <c r="J5" s="946" t="s">
        <v>171</v>
      </c>
      <c r="K5" s="946" t="s">
        <v>172</v>
      </c>
      <c r="L5" s="946" t="s">
        <v>173</v>
      </c>
      <c r="M5" s="947" t="s">
        <v>174</v>
      </c>
      <c r="N5" s="708" t="s">
        <v>175</v>
      </c>
      <c r="O5" s="697" t="s">
        <v>176</v>
      </c>
      <c r="P5" s="709" t="s">
        <v>177</v>
      </c>
    </row>
    <row r="6" spans="1:16" s="169" customFormat="1" ht="16.5" customHeight="1">
      <c r="A6" s="1223">
        <v>45383</v>
      </c>
      <c r="B6" s="1226">
        <v>0.46367757599999998</v>
      </c>
      <c r="C6" s="770">
        <v>2.5835345132743291E-2</v>
      </c>
      <c r="D6" s="1445">
        <v>7.8547085817140427</v>
      </c>
      <c r="E6" s="1226">
        <v>1.3380940000000001</v>
      </c>
      <c r="F6" s="770">
        <v>-7.6539682539682505E-2</v>
      </c>
      <c r="G6" s="1445">
        <v>5.8980131272632867</v>
      </c>
      <c r="H6" s="1226">
        <v>0.61059708400000001</v>
      </c>
      <c r="I6" s="770">
        <v>0.1856254058252427</v>
      </c>
      <c r="J6" s="1445">
        <v>8.7506329302403856</v>
      </c>
      <c r="K6" s="1226">
        <v>0.229709</v>
      </c>
      <c r="L6" s="770">
        <v>3.2538703703703704</v>
      </c>
      <c r="M6" s="1445">
        <v>7.9549590343452898</v>
      </c>
      <c r="N6" s="272"/>
      <c r="O6" s="593"/>
      <c r="P6" s="594"/>
    </row>
    <row r="7" spans="1:16" s="169" customFormat="1" ht="16.5" customHeight="1">
      <c r="A7" s="1223">
        <v>45413</v>
      </c>
      <c r="B7" s="1226">
        <v>0.46782047599999999</v>
      </c>
      <c r="C7" s="770">
        <v>3.0441577092510948E-2</v>
      </c>
      <c r="D7" s="1445">
        <v>7.9248894010322992</v>
      </c>
      <c r="E7" s="1226">
        <v>1.9318440000000001</v>
      </c>
      <c r="F7" s="770">
        <v>0.30002960969044423</v>
      </c>
      <c r="G7" s="1445">
        <v>8.5151276904498605</v>
      </c>
      <c r="H7" s="1226">
        <v>0.63183950500000008</v>
      </c>
      <c r="I7" s="770">
        <v>0.34148514861995777</v>
      </c>
      <c r="J7" s="1445">
        <v>9.0550638448181413</v>
      </c>
      <c r="K7" s="1226">
        <v>0.30379500000000004</v>
      </c>
      <c r="L7" s="770">
        <v>4.6258333333333344</v>
      </c>
      <c r="M7" s="1445">
        <v>10.520601194724314</v>
      </c>
      <c r="N7" s="273"/>
      <c r="O7" s="251"/>
      <c r="P7" s="255"/>
    </row>
    <row r="8" spans="1:16" s="169" customFormat="1" ht="16.5" customHeight="1">
      <c r="A8" s="1224">
        <v>45444</v>
      </c>
      <c r="B8" s="1226">
        <v>0.51024019399999998</v>
      </c>
      <c r="C8" s="770">
        <v>0.22067032057416269</v>
      </c>
      <c r="D8" s="1445">
        <v>8.6434803794506507</v>
      </c>
      <c r="E8" s="1226">
        <v>1.8394680000000001</v>
      </c>
      <c r="F8" s="770">
        <v>0.3686517857142857</v>
      </c>
      <c r="G8" s="1445">
        <v>8.1079553537948321</v>
      </c>
      <c r="H8" s="1226">
        <v>0.58882812799999995</v>
      </c>
      <c r="I8" s="770">
        <v>0.4467521572481572</v>
      </c>
      <c r="J8" s="1445">
        <v>8.4386560993281794</v>
      </c>
      <c r="K8" s="1226">
        <v>0.34502100000000002</v>
      </c>
      <c r="L8" s="770">
        <v>8.8577428571428563</v>
      </c>
      <c r="M8" s="1445">
        <v>11.948282048108023</v>
      </c>
      <c r="N8" s="274"/>
      <c r="O8" s="595"/>
      <c r="P8" s="596"/>
    </row>
    <row r="9" spans="1:16" s="169" customFormat="1" ht="16.5" customHeight="1">
      <c r="A9" s="948" t="s">
        <v>412</v>
      </c>
      <c r="B9" s="1472">
        <v>1.4417382459999999</v>
      </c>
      <c r="C9" s="1471">
        <v>8.8926167673715875E-2</v>
      </c>
      <c r="D9" s="1473">
        <v>24.423078362196993</v>
      </c>
      <c r="E9" s="1472">
        <v>5.1094059999999999</v>
      </c>
      <c r="F9" s="1471">
        <v>0.19406543584949754</v>
      </c>
      <c r="G9" s="1473">
        <v>22.521096171507978</v>
      </c>
      <c r="H9" s="1472">
        <v>1.8312647169999998</v>
      </c>
      <c r="I9" s="1471">
        <v>0.31461932304379026</v>
      </c>
      <c r="J9" s="1473">
        <v>26.244352874386703</v>
      </c>
      <c r="K9" s="1472">
        <v>0.878525</v>
      </c>
      <c r="L9" s="1471">
        <v>5.1435314685314681</v>
      </c>
      <c r="M9" s="1473">
        <v>30.423842277177627</v>
      </c>
      <c r="N9" s="713">
        <f>SUM(N6:N8)</f>
        <v>0</v>
      </c>
      <c r="O9" s="706" t="e">
        <f>100*(N9-#REF!)/#REF!</f>
        <v>#REF!</v>
      </c>
      <c r="P9" s="710" t="e">
        <f>100*N9/#REF!</f>
        <v>#REF!</v>
      </c>
    </row>
    <row r="10" spans="1:16" s="169" customFormat="1" ht="16.5" customHeight="1">
      <c r="A10" s="1225">
        <v>45474</v>
      </c>
      <c r="B10" s="1226">
        <v>0.48399159899999994</v>
      </c>
      <c r="C10" s="770">
        <v>6.8414125827814407E-2</v>
      </c>
      <c r="D10" s="1445">
        <v>8.1988285889046342</v>
      </c>
      <c r="E10" s="1226">
        <v>1.7920119999999997</v>
      </c>
      <c r="F10" s="770">
        <v>0.34535435435435408</v>
      </c>
      <c r="G10" s="1445">
        <v>7.8987801307033241</v>
      </c>
      <c r="H10" s="1226">
        <v>0.60138110200000006</v>
      </c>
      <c r="I10" s="770">
        <v>0.12829475046904321</v>
      </c>
      <c r="J10" s="1445">
        <v>8.6185561848923822</v>
      </c>
      <c r="K10" s="1226">
        <v>0.32543500000000003</v>
      </c>
      <c r="L10" s="770">
        <v>6.3962500000000011</v>
      </c>
      <c r="M10" s="1445">
        <v>11.270007241083977</v>
      </c>
      <c r="N10" s="272"/>
      <c r="O10" s="593"/>
      <c r="P10" s="594"/>
    </row>
    <row r="11" spans="1:16" s="169" customFormat="1" ht="16.5" customHeight="1">
      <c r="A11" s="1223">
        <v>45505</v>
      </c>
      <c r="B11" s="1226">
        <v>0.43511788400000001</v>
      </c>
      <c r="C11" s="770">
        <v>0.10999460204081631</v>
      </c>
      <c r="D11" s="1445">
        <v>7.370906755930883</v>
      </c>
      <c r="E11" s="1226">
        <v>1.529021</v>
      </c>
      <c r="F11" s="770">
        <v>0.64234264232008575</v>
      </c>
      <c r="G11" s="1445">
        <v>6.7395757920304824</v>
      </c>
      <c r="H11" s="1226">
        <v>0.57784215700000008</v>
      </c>
      <c r="I11" s="770">
        <v>0.30438410158013562</v>
      </c>
      <c r="J11" s="1445">
        <v>8.2812131600768275</v>
      </c>
      <c r="K11" s="1226">
        <v>0.263017</v>
      </c>
      <c r="L11" s="770">
        <v>4.3676938775510203</v>
      </c>
      <c r="M11" s="1445">
        <v>9.1084348472911163</v>
      </c>
      <c r="N11" s="273"/>
      <c r="O11" s="251"/>
      <c r="P11" s="255"/>
    </row>
    <row r="12" spans="1:16" s="169" customFormat="1" ht="16.5" customHeight="1">
      <c r="A12" s="1224">
        <v>45536</v>
      </c>
      <c r="B12" s="1226">
        <v>0.48770813299999999</v>
      </c>
      <c r="C12" s="770">
        <v>0.19536307107843143</v>
      </c>
      <c r="D12" s="1445">
        <v>8.2617867585790563</v>
      </c>
      <c r="E12" s="1226">
        <v>1.325701</v>
      </c>
      <c r="F12" s="770">
        <v>0.43164254859611229</v>
      </c>
      <c r="G12" s="1445">
        <v>5.8433876101574818</v>
      </c>
      <c r="H12" s="1226">
        <v>0.49374857800000016</v>
      </c>
      <c r="I12" s="770">
        <v>9.236411061946935E-2</v>
      </c>
      <c r="J12" s="1445">
        <v>7.0760452008745025</v>
      </c>
      <c r="K12" s="1226">
        <v>0.26705299999999998</v>
      </c>
      <c r="L12" s="770">
        <v>5.0693863636363643</v>
      </c>
      <c r="M12" s="1445">
        <v>9.2482039232203022</v>
      </c>
      <c r="N12" s="274"/>
      <c r="O12" s="595"/>
      <c r="P12" s="596"/>
    </row>
    <row r="13" spans="1:16" s="169" customFormat="1" ht="16.5" customHeight="1">
      <c r="A13" s="948" t="s">
        <v>413</v>
      </c>
      <c r="B13" s="1472">
        <v>1.4068176159999999</v>
      </c>
      <c r="C13" s="1471">
        <v>0.12275947007182762</v>
      </c>
      <c r="D13" s="1473">
        <v>23.831522103414574</v>
      </c>
      <c r="E13" s="1472">
        <v>4.6467340000000004</v>
      </c>
      <c r="F13" s="1471">
        <v>0.45711320163060531</v>
      </c>
      <c r="G13" s="1473">
        <v>20.48174353289129</v>
      </c>
      <c r="H13" s="1472">
        <v>1.6729718370000002</v>
      </c>
      <c r="I13" s="1471">
        <v>0.17154890546218504</v>
      </c>
      <c r="J13" s="1473">
        <v>23.975814545843708</v>
      </c>
      <c r="K13" s="1472">
        <v>0.85550499999999996</v>
      </c>
      <c r="L13" s="1471">
        <v>5.2445620437956197</v>
      </c>
      <c r="M13" s="1473">
        <v>29.626646011595394</v>
      </c>
      <c r="N13" s="713">
        <f>SUM(N10:N12)</f>
        <v>0</v>
      </c>
      <c r="O13" s="706" t="e">
        <f>100*(N13-#REF!)/#REF!</f>
        <v>#REF!</v>
      </c>
      <c r="P13" s="710" t="e">
        <f>100*N13/#REF!</f>
        <v>#REF!</v>
      </c>
    </row>
    <row r="14" spans="1:16" s="169" customFormat="1" ht="16.5" customHeight="1">
      <c r="A14" s="1225">
        <v>45566</v>
      </c>
      <c r="B14" s="1226">
        <v>0.49862758199999996</v>
      </c>
      <c r="C14" s="770">
        <v>0.12557016252821659</v>
      </c>
      <c r="D14" s="1445">
        <v>8.4467624705981521</v>
      </c>
      <c r="E14" s="1226">
        <v>1.7059129999999998</v>
      </c>
      <c r="F14" s="770">
        <v>1.9565216637781628</v>
      </c>
      <c r="G14" s="1445">
        <v>7.5192753782388184</v>
      </c>
      <c r="H14" s="1226">
        <v>0.50670452999999993</v>
      </c>
      <c r="I14" s="770">
        <v>0.16752195852534546</v>
      </c>
      <c r="J14" s="1445">
        <v>7.2617204737911543</v>
      </c>
      <c r="K14" s="1226">
        <v>0.26703699999999997</v>
      </c>
      <c r="L14" s="770">
        <v>3.3776557377049174</v>
      </c>
      <c r="M14" s="1445">
        <v>9.2476498337220701</v>
      </c>
      <c r="N14" s="272"/>
      <c r="O14" s="593"/>
      <c r="P14" s="594"/>
    </row>
    <row r="15" spans="1:16" s="169" customFormat="1" ht="16.5" customHeight="1">
      <c r="A15" s="1225">
        <v>45597</v>
      </c>
      <c r="B15" s="1226">
        <v>0.45852313300000003</v>
      </c>
      <c r="C15" s="770">
        <v>3.3328949671772644E-3</v>
      </c>
      <c r="D15" s="1445">
        <v>7.76739220119092</v>
      </c>
      <c r="E15" s="1226">
        <v>1.8703069999999999</v>
      </c>
      <c r="F15" s="770">
        <v>2.6106312741312738</v>
      </c>
      <c r="G15" s="1445">
        <v>8.2438866312922823</v>
      </c>
      <c r="H15" s="1226">
        <v>0.57025561999999996</v>
      </c>
      <c r="I15" s="770">
        <v>0.12698739130434775</v>
      </c>
      <c r="J15" s="1445">
        <v>8.1724884343316777</v>
      </c>
      <c r="K15" s="1226">
        <v>0.23091100000000001</v>
      </c>
      <c r="L15" s="770">
        <v>3.8106458333333331</v>
      </c>
      <c r="M15" s="1445">
        <v>7.996585007900018</v>
      </c>
      <c r="N15" s="273"/>
      <c r="O15" s="251"/>
      <c r="P15" s="255"/>
    </row>
    <row r="16" spans="1:16" s="169" customFormat="1" ht="16.5" customHeight="1">
      <c r="A16" s="1225">
        <v>45627</v>
      </c>
      <c r="B16" s="1226">
        <v>0.53420105699999998</v>
      </c>
      <c r="C16" s="770">
        <v>0.15878754229934913</v>
      </c>
      <c r="D16" s="1445">
        <v>9.0493779383858168</v>
      </c>
      <c r="E16" s="1226">
        <v>2.1194570000000001</v>
      </c>
      <c r="F16" s="770">
        <v>4.1568296836982972</v>
      </c>
      <c r="G16" s="1445">
        <v>9.3420829991540675</v>
      </c>
      <c r="H16" s="1226">
        <v>0.56358118000000001</v>
      </c>
      <c r="I16" s="770">
        <v>-6.8460859504132179E-2</v>
      </c>
      <c r="J16" s="1445">
        <v>8.0768352188392285</v>
      </c>
      <c r="K16" s="1226">
        <v>0.191168</v>
      </c>
      <c r="L16" s="770">
        <v>2.1339016393442622</v>
      </c>
      <c r="M16" s="1445">
        <v>6.6202613248837459</v>
      </c>
      <c r="N16" s="274"/>
      <c r="O16" s="595"/>
      <c r="P16" s="596"/>
    </row>
    <row r="17" spans="1:16" s="169" customFormat="1" ht="16.5" customHeight="1">
      <c r="A17" s="948" t="s">
        <v>535</v>
      </c>
      <c r="B17" s="1472">
        <v>1.491351772</v>
      </c>
      <c r="C17" s="1471">
        <v>9.5776467303453364E-2</v>
      </c>
      <c r="D17" s="1473">
        <v>25.263532610174892</v>
      </c>
      <c r="E17" s="1472">
        <v>5.6956769999999999</v>
      </c>
      <c r="F17" s="1471">
        <v>2.7819900398406374</v>
      </c>
      <c r="G17" s="1473">
        <v>25.105245008685166</v>
      </c>
      <c r="H17" s="1472">
        <v>1.64054133</v>
      </c>
      <c r="I17" s="1471">
        <v>6.1839048543689379E-2</v>
      </c>
      <c r="J17" s="1473">
        <v>23.511044126962062</v>
      </c>
      <c r="K17" s="1472">
        <v>0.68911599999999995</v>
      </c>
      <c r="L17" s="1471">
        <v>3.0536235294117646</v>
      </c>
      <c r="M17" s="1473">
        <v>23.86449616650583</v>
      </c>
      <c r="N17" s="713">
        <f>SUM(N14:N16)</f>
        <v>0</v>
      </c>
      <c r="O17" s="705" t="e">
        <f>100*(N17-#REF!)/#REF!</f>
        <v>#REF!</v>
      </c>
      <c r="P17" s="710" t="e">
        <f>100*N17/#REF!</f>
        <v>#REF!</v>
      </c>
    </row>
    <row r="18" spans="1:16" s="169" customFormat="1" ht="16.5" customHeight="1">
      <c r="A18" s="1225">
        <v>45658</v>
      </c>
      <c r="B18" s="1226">
        <v>0.56242920500000004</v>
      </c>
      <c r="C18" s="770">
        <v>0.20177180555555557</v>
      </c>
      <c r="D18" s="1445">
        <v>9.5275634013409931</v>
      </c>
      <c r="E18" s="1226">
        <v>2.2633230000000002</v>
      </c>
      <c r="F18" s="770">
        <v>2.5254252336448602</v>
      </c>
      <c r="G18" s="1445">
        <v>9.9762115107286355</v>
      </c>
      <c r="H18" s="1226">
        <v>0.63090653799999996</v>
      </c>
      <c r="I18" s="770">
        <v>9.914031010452963E-2</v>
      </c>
      <c r="J18" s="1445">
        <v>9.041693240917537</v>
      </c>
      <c r="K18" s="1226">
        <v>0.13757499999999998</v>
      </c>
      <c r="L18" s="770">
        <v>0.54578651685393242</v>
      </c>
      <c r="M18" s="1445">
        <v>4.7643039199598318</v>
      </c>
      <c r="N18" s="272"/>
      <c r="O18" s="593"/>
      <c r="P18" s="594"/>
    </row>
    <row r="19" spans="1:16" s="169" customFormat="1" ht="16.5" customHeight="1">
      <c r="A19" s="1225">
        <v>45689</v>
      </c>
      <c r="B19" s="1226">
        <v>0.47214715200000001</v>
      </c>
      <c r="C19" s="770">
        <v>-3.8396839103869609E-2</v>
      </c>
      <c r="D19" s="1445">
        <v>7.9981833899300856</v>
      </c>
      <c r="E19" s="1226">
        <v>2.3383750000000001</v>
      </c>
      <c r="F19" s="770">
        <v>1.7870977353992852</v>
      </c>
      <c r="G19" s="1445">
        <v>10.307023607059209</v>
      </c>
      <c r="H19" s="1226">
        <v>0.53072623200000002</v>
      </c>
      <c r="I19" s="770">
        <v>-9.7404367346938692E-2</v>
      </c>
      <c r="J19" s="1445">
        <v>7.605982020512891</v>
      </c>
      <c r="K19" s="1226">
        <v>0.17345499999999997</v>
      </c>
      <c r="L19" s="770">
        <v>1.1956329113924047</v>
      </c>
      <c r="M19" s="1445">
        <v>6.006849619746558</v>
      </c>
      <c r="N19" s="273"/>
      <c r="O19" s="251"/>
      <c r="P19" s="255"/>
    </row>
    <row r="20" spans="1:16" s="169" customFormat="1" ht="16.5" customHeight="1">
      <c r="A20" s="1225">
        <v>45717</v>
      </c>
      <c r="B20" s="1226">
        <v>0.52869588099999998</v>
      </c>
      <c r="C20" s="770">
        <v>5.7391761999999957E-2</v>
      </c>
      <c r="D20" s="1445">
        <v>8.9561201329424804</v>
      </c>
      <c r="E20" s="1226">
        <v>2.6336844200000002</v>
      </c>
      <c r="F20" s="770">
        <v>1.0885681363996831</v>
      </c>
      <c r="G20" s="1445">
        <v>11.608680169127725</v>
      </c>
      <c r="H20" s="1226">
        <v>0.67133699999999996</v>
      </c>
      <c r="I20" s="770">
        <v>9.5293233082705646E-3</v>
      </c>
      <c r="J20" s="1445">
        <v>9.6211131913770966</v>
      </c>
      <c r="K20" s="1226">
        <v>0.15344414999999997</v>
      </c>
      <c r="L20" s="770">
        <v>1.1019746575342464</v>
      </c>
      <c r="M20" s="1445">
        <v>5.3138620050147516</v>
      </c>
      <c r="N20" s="274"/>
      <c r="O20" s="595"/>
      <c r="P20" s="596"/>
    </row>
    <row r="21" spans="1:16" s="169" customFormat="1" ht="16.5" customHeight="1">
      <c r="A21" s="948" t="s">
        <v>415</v>
      </c>
      <c r="B21" s="1472">
        <v>1.5632722380000001</v>
      </c>
      <c r="C21" s="1471">
        <v>7.1468291980808812E-2</v>
      </c>
      <c r="D21" s="1473">
        <v>26.481866924213559</v>
      </c>
      <c r="E21" s="1472">
        <v>7.2353824200000005</v>
      </c>
      <c r="F21" s="1471">
        <v>1.6387244420131293</v>
      </c>
      <c r="G21" s="1473">
        <v>31.891915286915573</v>
      </c>
      <c r="H21" s="1472">
        <v>1.8329697700000001</v>
      </c>
      <c r="I21" s="1471">
        <v>3.2675259989053619E-3</v>
      </c>
      <c r="J21" s="1473">
        <v>26.268788452807527</v>
      </c>
      <c r="K21" s="1472">
        <v>0.46447414999999992</v>
      </c>
      <c r="L21" s="1471">
        <v>0.92727863070539396</v>
      </c>
      <c r="M21" s="1473">
        <v>16.085015544721141</v>
      </c>
      <c r="N21" s="713">
        <f>SUM(N18:N20)</f>
        <v>0</v>
      </c>
      <c r="O21" s="706" t="e">
        <f>100*(N21-#REF!)/#REF!</f>
        <v>#REF!</v>
      </c>
      <c r="P21" s="710" t="e">
        <f>100*N21/#REF!</f>
        <v>#REF!</v>
      </c>
    </row>
    <row r="22" spans="1:16" ht="16.5" customHeight="1" thickBot="1">
      <c r="A22" s="953" t="s">
        <v>141</v>
      </c>
      <c r="B22" s="1472">
        <v>5.9031798719999991</v>
      </c>
      <c r="C22" s="1471">
        <v>9.3789118399110388E-2</v>
      </c>
      <c r="D22" s="1473">
        <v>100.00000000000001</v>
      </c>
      <c r="E22" s="1472">
        <v>22.687199419999999</v>
      </c>
      <c r="F22" s="1471">
        <v>0.93642876579037182</v>
      </c>
      <c r="G22" s="1473">
        <v>99.999999999999986</v>
      </c>
      <c r="H22" s="1472">
        <v>6.9777476539999999</v>
      </c>
      <c r="I22" s="1471">
        <v>0.12671526788309387</v>
      </c>
      <c r="J22" s="1473">
        <v>100</v>
      </c>
      <c r="K22" s="1472">
        <v>2.8876201500000001</v>
      </c>
      <c r="L22" s="1471">
        <v>3.1789003617945006</v>
      </c>
      <c r="M22" s="1473">
        <v>100</v>
      </c>
      <c r="N22" s="702">
        <f>N9+N13+N17+N21</f>
        <v>0</v>
      </c>
      <c r="O22" s="707" t="e">
        <f>100*(N22-#REF!)/#REF!</f>
        <v>#REF!</v>
      </c>
      <c r="P22" s="711" t="e">
        <f>100*N22/#REF!</f>
        <v>#REF!</v>
      </c>
    </row>
    <row r="23" spans="1:16" ht="13.5" thickTop="1"/>
  </sheetData>
  <mergeCells count="8">
    <mergeCell ref="N3:P3"/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95" firstPageNumber="11" orientation="portrait" useFirstPageNumber="1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00B050"/>
  </sheetPr>
  <dimension ref="A1:U59"/>
  <sheetViews>
    <sheetView zoomScaleNormal="100" zoomScaleSheetLayoutView="115" workbookViewId="0">
      <selection activeCell="L9" sqref="L9"/>
    </sheetView>
  </sheetViews>
  <sheetFormatPr defaultColWidth="9.140625" defaultRowHeight="12.75"/>
  <cols>
    <col min="1" max="1" width="8.85546875" style="777" customWidth="1"/>
    <col min="2" max="2" width="8.7109375" style="810" customWidth="1"/>
    <col min="3" max="3" width="9" style="777" customWidth="1"/>
    <col min="4" max="4" width="10" style="777" customWidth="1"/>
    <col min="5" max="5" width="9" style="810" customWidth="1"/>
    <col min="6" max="6" width="8.7109375" style="777" customWidth="1"/>
    <col min="7" max="7" width="9.28515625" style="777" customWidth="1"/>
    <col min="8" max="8" width="9.42578125" style="810" customWidth="1"/>
    <col min="9" max="9" width="8.85546875" style="777" customWidth="1"/>
    <col min="10" max="10" width="9.28515625" style="777" customWidth="1"/>
    <col min="11" max="11" width="9.140625" style="777"/>
    <col min="12" max="12" width="13.7109375" style="777" customWidth="1"/>
    <col min="13" max="16384" width="9.140625" style="777"/>
  </cols>
  <sheetData>
    <row r="1" spans="1:10" ht="18.75" customHeight="1">
      <c r="A1" s="1624" t="s">
        <v>487</v>
      </c>
      <c r="B1" s="1625"/>
      <c r="C1" s="1625"/>
      <c r="D1" s="1625"/>
      <c r="E1" s="1625"/>
      <c r="F1" s="1625"/>
      <c r="G1" s="1625"/>
      <c r="H1" s="1625"/>
      <c r="I1" s="1625"/>
      <c r="J1" s="1626"/>
    </row>
    <row r="2" spans="1:10" ht="16.5" customHeight="1">
      <c r="A2" s="1627" t="s">
        <v>417</v>
      </c>
      <c r="B2" s="1628"/>
      <c r="C2" s="1628"/>
      <c r="D2" s="1628"/>
      <c r="E2" s="1628"/>
      <c r="F2" s="1628"/>
      <c r="G2" s="1628"/>
      <c r="H2" s="1628"/>
      <c r="I2" s="1628"/>
      <c r="J2" s="1629"/>
    </row>
    <row r="3" spans="1:10" s="778" customFormat="1" ht="18" customHeight="1">
      <c r="A3" s="1619" t="s">
        <v>0</v>
      </c>
      <c r="B3" s="1620" t="s">
        <v>110</v>
      </c>
      <c r="C3" s="1620"/>
      <c r="D3" s="1620"/>
      <c r="E3" s="1620" t="s">
        <v>111</v>
      </c>
      <c r="F3" s="1620"/>
      <c r="G3" s="1620"/>
      <c r="H3" s="1620" t="s">
        <v>137</v>
      </c>
      <c r="I3" s="1620"/>
      <c r="J3" s="1621"/>
    </row>
    <row r="4" spans="1:10" s="779" customFormat="1" ht="18" customHeight="1">
      <c r="A4" s="1619"/>
      <c r="B4" s="1160" t="s">
        <v>24</v>
      </c>
      <c r="C4" s="1161" t="s">
        <v>132</v>
      </c>
      <c r="D4" s="1161" t="s">
        <v>25</v>
      </c>
      <c r="E4" s="1160" t="s">
        <v>24</v>
      </c>
      <c r="F4" s="1161" t="s">
        <v>132</v>
      </c>
      <c r="G4" s="1162" t="s">
        <v>25</v>
      </c>
      <c r="H4" s="1160" t="s">
        <v>24</v>
      </c>
      <c r="I4" s="1161" t="s">
        <v>132</v>
      </c>
      <c r="J4" s="1163" t="s">
        <v>25</v>
      </c>
    </row>
    <row r="5" spans="1:10" s="778" customFormat="1" ht="16.5" customHeight="1">
      <c r="A5" s="1118" t="s">
        <v>162</v>
      </c>
      <c r="B5" s="1120" t="s">
        <v>163</v>
      </c>
      <c r="C5" s="1120" t="s">
        <v>164</v>
      </c>
      <c r="D5" s="1120" t="s">
        <v>165</v>
      </c>
      <c r="E5" s="1120" t="s">
        <v>166</v>
      </c>
      <c r="F5" s="1120" t="s">
        <v>167</v>
      </c>
      <c r="G5" s="1120" t="s">
        <v>168</v>
      </c>
      <c r="H5" s="1120" t="s">
        <v>169</v>
      </c>
      <c r="I5" s="1120" t="s">
        <v>170</v>
      </c>
      <c r="J5" s="1121" t="s">
        <v>171</v>
      </c>
    </row>
    <row r="6" spans="1:10" s="778" customFormat="1" ht="18" customHeight="1">
      <c r="A6" s="783" t="s">
        <v>293</v>
      </c>
      <c r="B6" s="784">
        <v>0.48699999999999999</v>
      </c>
      <c r="C6" s="785">
        <v>7.6185410572094561E-2</v>
      </c>
      <c r="D6" s="786">
        <v>-0.37483953786906293</v>
      </c>
      <c r="E6" s="784">
        <v>130.60500000000002</v>
      </c>
      <c r="F6" s="785">
        <v>20.431613034432058</v>
      </c>
      <c r="G6" s="786">
        <v>-3.0861357632602116E-2</v>
      </c>
      <c r="H6" s="784">
        <v>1.2999999999999999E-2</v>
      </c>
      <c r="I6" s="785">
        <v>2.0336967914522165E-3</v>
      </c>
      <c r="J6" s="787">
        <v>0</v>
      </c>
    </row>
    <row r="7" spans="1:10" s="778" customFormat="1" ht="18" customHeight="1">
      <c r="A7" s="783" t="s">
        <v>301</v>
      </c>
      <c r="B7" s="784">
        <v>0.6</v>
      </c>
      <c r="C7" s="785">
        <v>9.1203706518632924E-2</v>
      </c>
      <c r="D7" s="786">
        <v>0.23203285420944558</v>
      </c>
      <c r="E7" s="784">
        <v>138.52500000000001</v>
      </c>
      <c r="F7" s="785">
        <v>21.056655742489376</v>
      </c>
      <c r="G7" s="786">
        <v>6.0640863672906754E-2</v>
      </c>
      <c r="H7" s="784">
        <v>0.01</v>
      </c>
      <c r="I7" s="785">
        <v>1.5200617753105487E-3</v>
      </c>
      <c r="J7" s="787">
        <v>-0.23076923076923073</v>
      </c>
    </row>
    <row r="8" spans="1:10" s="778" customFormat="1" ht="18" customHeight="1">
      <c r="A8" s="783" t="s">
        <v>309</v>
      </c>
      <c r="B8" s="784">
        <v>0.78100000000000003</v>
      </c>
      <c r="C8" s="785">
        <v>0.11563517915309447</v>
      </c>
      <c r="D8" s="786">
        <v>0.30166666666666675</v>
      </c>
      <c r="E8" s="784">
        <v>142.54600000000002</v>
      </c>
      <c r="F8" s="785">
        <v>21.105419010956474</v>
      </c>
      <c r="G8" s="786">
        <v>2.9027251398664609E-2</v>
      </c>
      <c r="H8" s="784">
        <v>1.4E-2</v>
      </c>
      <c r="I8" s="785">
        <v>2.0728457210541906E-3</v>
      </c>
      <c r="J8" s="787">
        <v>0.4</v>
      </c>
    </row>
    <row r="9" spans="1:10" s="778" customFormat="1" ht="18" customHeight="1">
      <c r="A9" s="783" t="s">
        <v>319</v>
      </c>
      <c r="B9" s="784">
        <v>0.78400000000000003</v>
      </c>
      <c r="C9" s="785">
        <v>0.10758619932539061</v>
      </c>
      <c r="D9" s="786">
        <v>3.8412291933418727E-3</v>
      </c>
      <c r="E9" s="784">
        <v>161.893</v>
      </c>
      <c r="F9" s="785">
        <v>22.216138478807984</v>
      </c>
      <c r="G9" s="786">
        <v>0.13572460819665214</v>
      </c>
      <c r="H9" s="784">
        <v>1.2999999999999999E-2</v>
      </c>
      <c r="I9" s="785">
        <v>1.7839548357526504E-3</v>
      </c>
      <c r="J9" s="787">
        <v>-7.1428571428571494E-2</v>
      </c>
    </row>
    <row r="10" spans="1:10" s="778" customFormat="1" ht="18" customHeight="1">
      <c r="A10" s="783" t="s">
        <v>332</v>
      </c>
      <c r="B10" s="784">
        <v>0.51700000000000002</v>
      </c>
      <c r="C10" s="785">
        <v>7.07372269365171E-2</v>
      </c>
      <c r="D10" s="786">
        <v>-0.34056122448979592</v>
      </c>
      <c r="E10" s="784">
        <v>157.745</v>
      </c>
      <c r="F10" s="785">
        <v>21.583063564992049</v>
      </c>
      <c r="G10" s="786">
        <v>-2.5621861352868845E-2</v>
      </c>
      <c r="H10" s="784">
        <v>1.4E-2</v>
      </c>
      <c r="I10" s="785">
        <v>1.9155148493447572E-3</v>
      </c>
      <c r="J10" s="787">
        <v>7.6923076923076997E-2</v>
      </c>
    </row>
    <row r="11" spans="1:10" s="778" customFormat="1" ht="16.5" customHeight="1">
      <c r="A11" s="789" t="s">
        <v>345</v>
      </c>
      <c r="B11" s="784">
        <v>3.5999999999999997E-2</v>
      </c>
      <c r="C11" s="785">
        <v>5.0273501814733761E-3</v>
      </c>
      <c r="D11" s="786">
        <v>-0.93036750483558994</v>
      </c>
      <c r="E11" s="784">
        <v>158.41000000000003</v>
      </c>
      <c r="F11" s="785">
        <v>22.121737284644382</v>
      </c>
      <c r="G11" s="786">
        <v>4.2156645218550219E-3</v>
      </c>
      <c r="H11" s="784">
        <v>0.01</v>
      </c>
      <c r="I11" s="785">
        <v>1.3964861615203825E-3</v>
      </c>
      <c r="J11" s="787">
        <v>-0.2857142857142857</v>
      </c>
    </row>
    <row r="12" spans="1:10" s="778" customFormat="1" ht="18" customHeight="1">
      <c r="A12" s="783" t="s">
        <v>418</v>
      </c>
      <c r="B12" s="784">
        <v>2.8000000000000001E-2</v>
      </c>
      <c r="C12" s="785">
        <v>3.5980005397000811E-3</v>
      </c>
      <c r="D12" s="786">
        <v>-0.22222222222222215</v>
      </c>
      <c r="E12" s="784">
        <v>154.12</v>
      </c>
      <c r="F12" s="785">
        <v>19.804422970663445</v>
      </c>
      <c r="G12" s="786">
        <v>-2.7081623634871661E-2</v>
      </c>
      <c r="H12" s="784">
        <v>1.0999999999999999E-2</v>
      </c>
      <c r="I12" s="785">
        <v>1.4135002120250315E-3</v>
      </c>
      <c r="J12" s="787">
        <v>9.9999999999999908E-2</v>
      </c>
    </row>
    <row r="13" spans="1:10" s="778" customFormat="1" ht="18" customHeight="1">
      <c r="A13" s="783" t="s">
        <v>431</v>
      </c>
      <c r="B13" s="784">
        <v>0.2</v>
      </c>
      <c r="C13" s="785">
        <v>2.239162732271149E-2</v>
      </c>
      <c r="D13" s="786">
        <v>6.1428571428571432</v>
      </c>
      <c r="E13" s="784">
        <v>184.89499999999992</v>
      </c>
      <c r="F13" s="785">
        <v>20.700499669163698</v>
      </c>
      <c r="G13" s="786">
        <v>0.19968206592265714</v>
      </c>
      <c r="H13" s="784">
        <v>0.01</v>
      </c>
      <c r="I13" s="785">
        <v>1.1195813661355745E-3</v>
      </c>
      <c r="J13" s="787">
        <v>-9.0909090909090842E-2</v>
      </c>
    </row>
    <row r="14" spans="1:10" s="778" customFormat="1" ht="18" customHeight="1">
      <c r="A14" s="783" t="s">
        <v>504</v>
      </c>
      <c r="B14" s="784">
        <v>0.2</v>
      </c>
      <c r="C14" s="785">
        <v>2.0043574731466205E-2</v>
      </c>
      <c r="D14" s="786">
        <v>0</v>
      </c>
      <c r="E14" s="784">
        <v>207.25499999999997</v>
      </c>
      <c r="F14" s="785">
        <v>20.770655404850139</v>
      </c>
      <c r="G14" s="786">
        <v>0.12093350279888614</v>
      </c>
      <c r="H14" s="784">
        <v>8.0000000000000002E-3</v>
      </c>
      <c r="I14" s="785">
        <v>8.0174298925864823E-4</v>
      </c>
      <c r="J14" s="787">
        <v>-0.2</v>
      </c>
    </row>
    <row r="15" spans="1:10" s="778" customFormat="1" ht="18" customHeight="1">
      <c r="A15" s="1410" t="s">
        <v>538</v>
      </c>
      <c r="B15" s="1477">
        <v>0.2</v>
      </c>
      <c r="C15" s="1478">
        <v>1.9092666693708314E-2</v>
      </c>
      <c r="D15" s="1479">
        <v>0</v>
      </c>
      <c r="E15" s="1477">
        <v>204.9526822</v>
      </c>
      <c r="F15" s="1478">
        <v>19.565466246130622</v>
      </c>
      <c r="G15" s="1479">
        <v>-1.1108623676147593E-2</v>
      </c>
      <c r="H15" s="1477">
        <v>1.0236E-2</v>
      </c>
      <c r="I15" s="1478">
        <v>9.771626813839915E-4</v>
      </c>
      <c r="J15" s="1480">
        <v>0.27950000000000003</v>
      </c>
    </row>
    <row r="16" spans="1:10" s="778" customFormat="1" ht="12" customHeight="1">
      <c r="A16" s="780"/>
      <c r="B16" s="790"/>
      <c r="C16" s="791"/>
      <c r="D16" s="791"/>
      <c r="E16" s="790"/>
      <c r="F16" s="791"/>
      <c r="G16" s="791"/>
      <c r="H16" s="781"/>
      <c r="J16" s="792"/>
    </row>
    <row r="17" spans="1:10" s="778" customFormat="1" ht="18" customHeight="1">
      <c r="A17" s="1619" t="s">
        <v>0</v>
      </c>
      <c r="B17" s="1620" t="s">
        <v>112</v>
      </c>
      <c r="C17" s="1620"/>
      <c r="D17" s="1620"/>
      <c r="E17" s="1620" t="s">
        <v>138</v>
      </c>
      <c r="F17" s="1620"/>
      <c r="G17" s="1620"/>
      <c r="H17" s="1620" t="s">
        <v>113</v>
      </c>
      <c r="I17" s="1620"/>
      <c r="J17" s="1621"/>
    </row>
    <row r="18" spans="1:10" s="779" customFormat="1" ht="18" customHeight="1">
      <c r="A18" s="1619"/>
      <c r="B18" s="1160" t="s">
        <v>24</v>
      </c>
      <c r="C18" s="1161" t="s">
        <v>132</v>
      </c>
      <c r="D18" s="1161" t="s">
        <v>25</v>
      </c>
      <c r="E18" s="1160" t="s">
        <v>24</v>
      </c>
      <c r="F18" s="1161" t="s">
        <v>132</v>
      </c>
      <c r="G18" s="1161" t="s">
        <v>25</v>
      </c>
      <c r="H18" s="1160" t="s">
        <v>24</v>
      </c>
      <c r="I18" s="1161" t="s">
        <v>132</v>
      </c>
      <c r="J18" s="1163" t="s">
        <v>25</v>
      </c>
    </row>
    <row r="19" spans="1:10" s="808" customFormat="1" ht="14.25" customHeight="1">
      <c r="A19" s="1118" t="s">
        <v>172</v>
      </c>
      <c r="B19" s="1120" t="s">
        <v>173</v>
      </c>
      <c r="C19" s="1120" t="s">
        <v>174</v>
      </c>
      <c r="D19" s="1120" t="s">
        <v>175</v>
      </c>
      <c r="E19" s="1120" t="s">
        <v>176</v>
      </c>
      <c r="F19" s="1120" t="s">
        <v>177</v>
      </c>
      <c r="G19" s="1120" t="s">
        <v>178</v>
      </c>
      <c r="H19" s="1120" t="s">
        <v>179</v>
      </c>
      <c r="I19" s="1120" t="s">
        <v>180</v>
      </c>
      <c r="J19" s="1121" t="s">
        <v>181</v>
      </c>
    </row>
    <row r="20" spans="1:10" s="778" customFormat="1" ht="18" customHeight="1">
      <c r="A20" s="783" t="s">
        <v>293</v>
      </c>
      <c r="B20" s="784">
        <v>121.06699999999999</v>
      </c>
      <c r="C20" s="785">
        <v>18.937248342474422</v>
      </c>
      <c r="D20" s="786">
        <v>-2.477787712557299E-2</v>
      </c>
      <c r="E20" s="784">
        <v>107.71399999999998</v>
      </c>
      <c r="F20" s="785">
        <v>16.848577795446236</v>
      </c>
      <c r="G20" s="786">
        <v>0.2294855551370292</v>
      </c>
      <c r="H20" s="784">
        <v>38.350999999999999</v>
      </c>
      <c r="I20" s="785">
        <v>5.9988470118383752</v>
      </c>
      <c r="J20" s="787">
        <v>2.4570666806075017E-3</v>
      </c>
    </row>
    <row r="21" spans="1:10" s="778" customFormat="1" ht="18" customHeight="1">
      <c r="A21" s="783" t="s">
        <v>301</v>
      </c>
      <c r="B21" s="784">
        <v>126.435</v>
      </c>
      <c r="C21" s="785">
        <v>19.216237007970495</v>
      </c>
      <c r="D21" s="786">
        <v>4.4339084969479789E-2</v>
      </c>
      <c r="E21" s="784">
        <v>105.01300000000001</v>
      </c>
      <c r="F21" s="785">
        <v>15.960412045066681</v>
      </c>
      <c r="G21" s="786">
        <v>-2.5075663330671776E-2</v>
      </c>
      <c r="H21" s="784">
        <v>40.558999999999997</v>
      </c>
      <c r="I21" s="785">
        <v>6.1643639562326511</v>
      </c>
      <c r="J21" s="787">
        <v>5.7573466141691183E-2</v>
      </c>
    </row>
    <row r="22" spans="1:10" s="778" customFormat="1" ht="18" customHeight="1">
      <c r="A22" s="783" t="s">
        <v>309</v>
      </c>
      <c r="B22" s="784">
        <v>123.297</v>
      </c>
      <c r="C22" s="785">
        <v>18.252279233670212</v>
      </c>
      <c r="D22" s="786">
        <v>-2.4819076996084984E-2</v>
      </c>
      <c r="E22" s="784">
        <v>112.127</v>
      </c>
      <c r="F22" s="785">
        <v>16.598727573531715</v>
      </c>
      <c r="G22" s="786">
        <v>6.7743993600792182E-2</v>
      </c>
      <c r="H22" s="784">
        <v>42.219000000000001</v>
      </c>
      <c r="I22" s="785">
        <v>6.2498923490946492</v>
      </c>
      <c r="J22" s="787">
        <v>4.0928030769989493E-2</v>
      </c>
    </row>
    <row r="23" spans="1:10" s="778" customFormat="1" ht="18" customHeight="1">
      <c r="A23" s="783" t="s">
        <v>319</v>
      </c>
      <c r="B23" s="784">
        <v>134.666</v>
      </c>
      <c r="C23" s="785">
        <v>18.47712299759608</v>
      </c>
      <c r="D23" s="786">
        <v>9.220824513167393E-2</v>
      </c>
      <c r="E23" s="784">
        <v>118.66099999999999</v>
      </c>
      <c r="F23" s="785">
        <v>16.281124352232546</v>
      </c>
      <c r="G23" s="786">
        <v>5.8273208058719057E-2</v>
      </c>
      <c r="H23" s="784">
        <v>49.817999999999998</v>
      </c>
      <c r="I23" s="785">
        <v>6.8353802258494456</v>
      </c>
      <c r="J23" s="787">
        <v>0.17999005187237965</v>
      </c>
    </row>
    <row r="24" spans="1:10" s="778" customFormat="1" ht="18" customHeight="1">
      <c r="A24" s="783" t="s">
        <v>332</v>
      </c>
      <c r="B24" s="784">
        <v>131.76300000000001</v>
      </c>
      <c r="C24" s="785">
        <v>18.026396974945524</v>
      </c>
      <c r="D24" s="786">
        <v>-2.155703741107623E-2</v>
      </c>
      <c r="E24" s="784">
        <v>125.726</v>
      </c>
      <c r="F24" s="785">
        <v>17.200479543361951</v>
      </c>
      <c r="G24" s="786">
        <v>5.9539360025619305E-2</v>
      </c>
      <c r="H24" s="784">
        <v>54.746000000000002</v>
      </c>
      <c r="I24" s="785">
        <v>7.4897591037724371</v>
      </c>
      <c r="J24" s="787">
        <v>9.8920069051346995E-2</v>
      </c>
    </row>
    <row r="25" spans="1:10" s="778" customFormat="1" ht="18" customHeight="1">
      <c r="A25" s="789" t="s">
        <v>345</v>
      </c>
      <c r="B25" s="784">
        <v>123.428</v>
      </c>
      <c r="C25" s="785">
        <v>17.236428383914486</v>
      </c>
      <c r="D25" s="786">
        <v>-6.3257515387476052E-2</v>
      </c>
      <c r="E25" s="784">
        <v>132.53100000000001</v>
      </c>
      <c r="F25" s="785">
        <v>18.507640812040794</v>
      </c>
      <c r="G25" s="786">
        <v>5.41256382927955E-2</v>
      </c>
      <c r="H25" s="784">
        <v>47.435000000000002</v>
      </c>
      <c r="I25" s="785">
        <v>6.6241856012491791</v>
      </c>
      <c r="J25" s="787">
        <v>-0.13354400321484675</v>
      </c>
    </row>
    <row r="26" spans="1:10" s="778" customFormat="1" ht="18" customHeight="1">
      <c r="A26" s="783" t="s">
        <v>418</v>
      </c>
      <c r="B26" s="784">
        <v>130.10400000000001</v>
      </c>
      <c r="C26" s="785">
        <v>16.718289211891896</v>
      </c>
      <c r="D26" s="786">
        <v>5.4088213371358336E-2</v>
      </c>
      <c r="E26" s="784">
        <v>137.97499999999999</v>
      </c>
      <c r="F26" s="785">
        <v>17.729708187379206</v>
      </c>
      <c r="G26" s="786">
        <v>4.1077181942337927E-2</v>
      </c>
      <c r="H26" s="784">
        <v>56.527999999999999</v>
      </c>
      <c r="I26" s="785">
        <v>7.2638155058247644</v>
      </c>
      <c r="J26" s="787">
        <v>0.19169389691156311</v>
      </c>
    </row>
    <row r="27" spans="1:10" s="778" customFormat="1" ht="18" customHeight="1">
      <c r="A27" s="783" t="s">
        <v>431</v>
      </c>
      <c r="B27" s="784">
        <v>156.483</v>
      </c>
      <c r="C27" s="785">
        <v>17.519105900876344</v>
      </c>
      <c r="D27" s="786">
        <v>0.20275318206972873</v>
      </c>
      <c r="E27" s="784">
        <v>146.029</v>
      </c>
      <c r="F27" s="785">
        <v>16.348724881291073</v>
      </c>
      <c r="G27" s="786">
        <v>5.8372893640152218E-2</v>
      </c>
      <c r="H27" s="784">
        <v>63.62</v>
      </c>
      <c r="I27" s="785">
        <v>7.1225980931714812</v>
      </c>
      <c r="J27" s="787">
        <v>0.12545994905179733</v>
      </c>
    </row>
    <row r="28" spans="1:10" s="778" customFormat="1" ht="18" customHeight="1">
      <c r="A28" s="783" t="s">
        <v>504</v>
      </c>
      <c r="B28" s="784">
        <v>191.15799999999999</v>
      </c>
      <c r="C28" s="785">
        <v>19.157448292588082</v>
      </c>
      <c r="D28" s="786">
        <v>0.22158956563971793</v>
      </c>
      <c r="E28" s="784">
        <v>159.22800000000004</v>
      </c>
      <c r="F28" s="785">
        <v>15.957491586709507</v>
      </c>
      <c r="G28" s="786">
        <v>9.0386156174458776E-2</v>
      </c>
      <c r="H28" s="784">
        <v>69.281999999999996</v>
      </c>
      <c r="I28" s="785">
        <v>6.9432947227272077</v>
      </c>
      <c r="J28" s="787">
        <v>8.8997170701037395E-2</v>
      </c>
    </row>
    <row r="29" spans="1:10" s="778" customFormat="1" ht="18" customHeight="1">
      <c r="A29" s="1410" t="s">
        <v>538</v>
      </c>
      <c r="B29" s="1477">
        <v>206.19236521800002</v>
      </c>
      <c r="C29" s="1478">
        <v>19.683810519473248</v>
      </c>
      <c r="D29" s="1479">
        <v>7.8648893679574144E-2</v>
      </c>
      <c r="E29" s="1477">
        <v>167.57108787000001</v>
      </c>
      <c r="F29" s="1478">
        <v>15.996894641020093</v>
      </c>
      <c r="G29" s="1479">
        <v>5.2397115268671184E-2</v>
      </c>
      <c r="H29" s="1477">
        <v>70.781134790999999</v>
      </c>
      <c r="I29" s="1478">
        <v>6.7570030738350226</v>
      </c>
      <c r="J29" s="1480">
        <v>2.1638156967177666E-2</v>
      </c>
    </row>
    <row r="30" spans="1:10" s="778" customFormat="1" ht="18" customHeight="1">
      <c r="A30" s="793"/>
      <c r="B30" s="794"/>
      <c r="C30" s="795"/>
      <c r="D30" s="795"/>
      <c r="E30" s="794"/>
      <c r="F30" s="795"/>
      <c r="G30" s="795"/>
      <c r="H30" s="796"/>
      <c r="I30" s="782"/>
      <c r="J30" s="797"/>
    </row>
    <row r="31" spans="1:10" s="778" customFormat="1" ht="18" customHeight="1">
      <c r="A31" s="1619" t="s">
        <v>0</v>
      </c>
      <c r="B31" s="1620" t="s">
        <v>75</v>
      </c>
      <c r="C31" s="1620"/>
      <c r="D31" s="1620"/>
      <c r="E31" s="1620" t="s">
        <v>265</v>
      </c>
      <c r="F31" s="1620"/>
      <c r="G31" s="1620"/>
      <c r="H31" s="1620" t="s">
        <v>284</v>
      </c>
      <c r="I31" s="1620"/>
      <c r="J31" s="1621"/>
    </row>
    <row r="32" spans="1:10" s="779" customFormat="1" ht="18" customHeight="1">
      <c r="A32" s="1619"/>
      <c r="B32" s="1160" t="s">
        <v>24</v>
      </c>
      <c r="C32" s="1161" t="s">
        <v>132</v>
      </c>
      <c r="D32" s="1161" t="s">
        <v>25</v>
      </c>
      <c r="E32" s="1160" t="s">
        <v>24</v>
      </c>
      <c r="F32" s="1161" t="s">
        <v>132</v>
      </c>
      <c r="G32" s="1161" t="s">
        <v>25</v>
      </c>
      <c r="H32" s="1160" t="s">
        <v>24</v>
      </c>
      <c r="I32" s="1161" t="s">
        <v>132</v>
      </c>
      <c r="J32" s="1163" t="s">
        <v>25</v>
      </c>
    </row>
    <row r="33" spans="1:10" s="778" customFormat="1" ht="14.25" customHeight="1">
      <c r="A33" s="1118" t="s">
        <v>182</v>
      </c>
      <c r="B33" s="1120" t="s">
        <v>183</v>
      </c>
      <c r="C33" s="1120" t="s">
        <v>184</v>
      </c>
      <c r="D33" s="1120" t="s">
        <v>185</v>
      </c>
      <c r="E33" s="1120" t="s">
        <v>186</v>
      </c>
      <c r="F33" s="1120" t="s">
        <v>187</v>
      </c>
      <c r="G33" s="1120" t="s">
        <v>188</v>
      </c>
      <c r="H33" s="1120" t="s">
        <v>189</v>
      </c>
      <c r="I33" s="1120" t="s">
        <v>190</v>
      </c>
      <c r="J33" s="1121" t="s">
        <v>288</v>
      </c>
    </row>
    <row r="34" spans="1:10" s="778" customFormat="1" ht="18" customHeight="1">
      <c r="A34" s="798" t="s">
        <v>293</v>
      </c>
      <c r="B34" s="788">
        <v>3.7120000000000002</v>
      </c>
      <c r="C34" s="785">
        <v>0.58062945185116555</v>
      </c>
      <c r="D34" s="799">
        <v>0.47068145800316963</v>
      </c>
      <c r="E34" s="784">
        <v>138.46100000000001</v>
      </c>
      <c r="F34" s="785">
        <v>21.658010380593815</v>
      </c>
      <c r="G34" s="786">
        <v>0.11998996982859746</v>
      </c>
      <c r="H34" s="784">
        <v>60.38</v>
      </c>
      <c r="I34" s="785">
        <v>9.4446137669109298</v>
      </c>
      <c r="J34" s="787">
        <v>0.14930714176945334</v>
      </c>
    </row>
    <row r="35" spans="1:10" s="778" customFormat="1" ht="18" customHeight="1">
      <c r="A35" s="798" t="s">
        <v>301</v>
      </c>
      <c r="B35" s="788">
        <v>2.3079999999999998</v>
      </c>
      <c r="C35" s="785">
        <v>0.35078162703678489</v>
      </c>
      <c r="D35" s="799">
        <v>-0.37823275862068972</v>
      </c>
      <c r="E35" s="784">
        <v>139.35900000000001</v>
      </c>
      <c r="F35" s="785">
        <v>21.180492531290867</v>
      </c>
      <c r="G35" s="786">
        <v>6.4855807772585495E-3</v>
      </c>
      <c r="H35" s="784">
        <v>61.335999999999999</v>
      </c>
      <c r="I35" s="785">
        <v>9.3221585250988905</v>
      </c>
      <c r="J35" s="787">
        <v>1.5833057303742893E-2</v>
      </c>
    </row>
    <row r="36" spans="1:10" s="778" customFormat="1" ht="18" customHeight="1">
      <c r="A36" s="798" t="s">
        <v>309</v>
      </c>
      <c r="B36" s="788">
        <v>1.5289999999999999</v>
      </c>
      <c r="C36" s="785">
        <v>0.22634561220696167</v>
      </c>
      <c r="D36" s="799">
        <v>-0.33752166377816289</v>
      </c>
      <c r="E36" s="784">
        <v>143.328</v>
      </c>
      <c r="F36" s="785">
        <v>21.217569592151349</v>
      </c>
      <c r="G36" s="786">
        <v>2.8480399543624694E-2</v>
      </c>
      <c r="H36" s="784">
        <v>62.01</v>
      </c>
      <c r="I36" s="785">
        <v>9.1796542923176556</v>
      </c>
      <c r="J36" s="787">
        <v>1.0988652667275329E-2</v>
      </c>
    </row>
    <row r="37" spans="1:10" s="778" customFormat="1" ht="18" customHeight="1">
      <c r="A37" s="798" t="s">
        <v>319</v>
      </c>
      <c r="B37" s="788"/>
      <c r="C37" s="785"/>
      <c r="D37" s="799"/>
      <c r="E37" s="784">
        <v>144.31200000000001</v>
      </c>
      <c r="F37" s="785">
        <v>19.800622087454038</v>
      </c>
      <c r="G37" s="786">
        <v>6.8653717347622852E-3</v>
      </c>
      <c r="H37" s="784">
        <v>65.16</v>
      </c>
      <c r="I37" s="785">
        <v>8.9404106049289389</v>
      </c>
      <c r="J37" s="787">
        <v>5.0798258345428136E-2</v>
      </c>
    </row>
    <row r="38" spans="1:10" s="778" customFormat="1" ht="18" customHeight="1">
      <c r="A38" s="798" t="s">
        <v>332</v>
      </c>
      <c r="B38" s="788"/>
      <c r="C38" s="785"/>
      <c r="D38" s="799"/>
      <c r="E38" s="784">
        <v>143.01599999999999</v>
      </c>
      <c r="F38" s="785">
        <v>19.56591144531324</v>
      </c>
      <c r="G38" s="786">
        <v>-8.9805421586563877E-3</v>
      </c>
      <c r="H38" s="784">
        <v>65.703000000000003</v>
      </c>
      <c r="I38" s="785">
        <v>8.9887780366631436</v>
      </c>
      <c r="J38" s="787">
        <v>8.3333333333334321E-3</v>
      </c>
    </row>
    <row r="39" spans="1:10" s="778" customFormat="1" ht="18" customHeight="1">
      <c r="A39" s="800" t="s">
        <v>345</v>
      </c>
      <c r="B39" s="788"/>
      <c r="C39" s="785"/>
      <c r="D39" s="799"/>
      <c r="E39" s="784">
        <v>154.15100000000001</v>
      </c>
      <c r="F39" s="785">
        <v>21.526822696704169</v>
      </c>
      <c r="G39" s="786">
        <v>7.785842143536402E-2</v>
      </c>
      <c r="H39" s="784">
        <v>52.603000000000002</v>
      </c>
      <c r="I39" s="785">
        <v>7.3458845827450316</v>
      </c>
      <c r="J39" s="787">
        <v>-0.19938206778990306</v>
      </c>
    </row>
    <row r="40" spans="1:10" s="778" customFormat="1" ht="18" customHeight="1">
      <c r="A40" s="798" t="s">
        <v>418</v>
      </c>
      <c r="B40" s="788"/>
      <c r="C40" s="785"/>
      <c r="D40" s="799"/>
      <c r="E40" s="784">
        <v>185.06899999999999</v>
      </c>
      <c r="F40" s="785">
        <v>23.781260116181063</v>
      </c>
      <c r="G40" s="786">
        <v>0.20056957139428208</v>
      </c>
      <c r="H40" s="784">
        <v>67.233000000000004</v>
      </c>
      <c r="I40" s="785">
        <v>8.639401852234581</v>
      </c>
      <c r="J40" s="787">
        <v>0.27812101971370456</v>
      </c>
    </row>
    <row r="41" spans="1:10" s="778" customFormat="1" ht="18" customHeight="1">
      <c r="A41" s="798" t="s">
        <v>431</v>
      </c>
      <c r="B41" s="788"/>
      <c r="C41" s="785"/>
      <c r="D41" s="799"/>
      <c r="E41" s="784">
        <v>218.98100000000002</v>
      </c>
      <c r="F41" s="785">
        <v>24.516090113813018</v>
      </c>
      <c r="G41" s="786">
        <v>0.183239764628328</v>
      </c>
      <c r="H41" s="784">
        <v>69.637</v>
      </c>
      <c r="I41" s="785">
        <v>7.7962333136463755</v>
      </c>
      <c r="J41" s="787">
        <v>3.5756250650722056E-2</v>
      </c>
    </row>
    <row r="42" spans="1:10" s="778" customFormat="1" ht="18" customHeight="1">
      <c r="A42" s="798" t="s">
        <v>504</v>
      </c>
      <c r="B42" s="788"/>
      <c r="C42" s="785"/>
      <c r="D42" s="799"/>
      <c r="E42" s="784">
        <v>239.40199999999999</v>
      </c>
      <c r="F42" s="785">
        <v>23.992359389312359</v>
      </c>
      <c r="G42" s="786">
        <v>9.3254665929920683E-2</v>
      </c>
      <c r="H42" s="784">
        <v>72.521000000000001</v>
      </c>
      <c r="I42" s="785">
        <v>7.2679004155033038</v>
      </c>
      <c r="J42" s="787">
        <v>4.1414765139221967E-2</v>
      </c>
    </row>
    <row r="43" spans="1:10" s="778" customFormat="1" ht="18" customHeight="1">
      <c r="A43" s="1411" t="s">
        <v>538</v>
      </c>
      <c r="B43" s="1481"/>
      <c r="C43" s="1478"/>
      <c r="D43" s="1482"/>
      <c r="E43" s="1477">
        <v>269.36346357299999</v>
      </c>
      <c r="F43" s="1478">
        <v>25.714334147310645</v>
      </c>
      <c r="G43" s="1479">
        <v>0.12515126679392821</v>
      </c>
      <c r="H43" s="1477">
        <v>71.506395965999999</v>
      </c>
      <c r="I43" s="1478">
        <v>6.8262389232358336</v>
      </c>
      <c r="J43" s="1480">
        <v>-1.3990485983370353E-2</v>
      </c>
    </row>
    <row r="44" spans="1:10" s="778" customFormat="1" ht="12.75" customHeight="1" thickBot="1">
      <c r="A44" s="801"/>
      <c r="B44" s="802"/>
      <c r="C44" s="803"/>
      <c r="D44" s="803"/>
      <c r="E44" s="802"/>
      <c r="F44" s="803"/>
      <c r="G44" s="803"/>
      <c r="H44" s="804"/>
      <c r="I44" s="805"/>
      <c r="J44" s="806" t="s">
        <v>292</v>
      </c>
    </row>
    <row r="45" spans="1:10" s="778" customFormat="1" ht="12.75" customHeight="1">
      <c r="A45" s="780"/>
      <c r="B45" s="781"/>
      <c r="E45" s="781"/>
      <c r="H45" s="781"/>
      <c r="J45" s="807"/>
    </row>
    <row r="46" spans="1:10" s="778" customFormat="1" ht="18" customHeight="1">
      <c r="A46" s="1619" t="s">
        <v>0</v>
      </c>
      <c r="B46" s="1620" t="s">
        <v>139</v>
      </c>
      <c r="C46" s="1620"/>
      <c r="D46" s="1620"/>
      <c r="E46" s="1620" t="s">
        <v>140</v>
      </c>
      <c r="F46" s="1620"/>
      <c r="G46" s="1620"/>
      <c r="H46" s="1620" t="s">
        <v>91</v>
      </c>
      <c r="I46" s="1620"/>
      <c r="J46" s="1621"/>
    </row>
    <row r="47" spans="1:10" s="779" customFormat="1" ht="18" customHeight="1">
      <c r="A47" s="1619"/>
      <c r="B47" s="1160" t="s">
        <v>24</v>
      </c>
      <c r="C47" s="1161" t="s">
        <v>132</v>
      </c>
      <c r="D47" s="1161" t="s">
        <v>25</v>
      </c>
      <c r="E47" s="1160" t="s">
        <v>24</v>
      </c>
      <c r="F47" s="1161" t="s">
        <v>132</v>
      </c>
      <c r="G47" s="1161" t="s">
        <v>25</v>
      </c>
      <c r="H47" s="1622" t="s">
        <v>24</v>
      </c>
      <c r="I47" s="1623"/>
      <c r="J47" s="1164" t="s">
        <v>25</v>
      </c>
    </row>
    <row r="48" spans="1:10" s="778" customFormat="1" ht="14.25" customHeight="1">
      <c r="A48" s="1118" t="s">
        <v>194</v>
      </c>
      <c r="B48" s="1119" t="s">
        <v>195</v>
      </c>
      <c r="C48" s="1119" t="s">
        <v>196</v>
      </c>
      <c r="D48" s="1119" t="s">
        <v>197</v>
      </c>
      <c r="E48" s="1120" t="s">
        <v>198</v>
      </c>
      <c r="F48" s="1120" t="s">
        <v>199</v>
      </c>
      <c r="G48" s="1120" t="s">
        <v>200</v>
      </c>
      <c r="H48" s="1617" t="s">
        <v>201</v>
      </c>
      <c r="I48" s="1618"/>
      <c r="J48" s="1121" t="s">
        <v>202</v>
      </c>
    </row>
    <row r="49" spans="1:21" s="778" customFormat="1" ht="18" customHeight="1">
      <c r="A49" s="783" t="s">
        <v>293</v>
      </c>
      <c r="B49" s="779">
        <v>12.689</v>
      </c>
      <c r="C49" s="1474">
        <v>1.9848079511151508</v>
      </c>
      <c r="D49" s="1475">
        <v>-0.15163468610015382</v>
      </c>
      <c r="E49" s="779">
        <v>25.751000000000001</v>
      </c>
      <c r="F49" s="1474">
        <v>4.0279604026453022</v>
      </c>
      <c r="G49" s="1475">
        <v>-0.14077410744077404</v>
      </c>
      <c r="H49" s="1630">
        <v>639.30618541057197</v>
      </c>
      <c r="I49" s="1630"/>
      <c r="J49" s="809">
        <v>4.9455390633249205E-2</v>
      </c>
      <c r="U49" s="779"/>
    </row>
    <row r="50" spans="1:21" s="778" customFormat="1" ht="18" customHeight="1">
      <c r="A50" s="783" t="s">
        <v>301</v>
      </c>
      <c r="B50" s="1476">
        <v>16.056000000000001</v>
      </c>
      <c r="C50" s="1474">
        <v>2.4402728785539947</v>
      </c>
      <c r="D50" s="1475">
        <v>0.26534793915990235</v>
      </c>
      <c r="E50" s="1476">
        <v>27.666999999999998</v>
      </c>
      <c r="F50" s="1474">
        <v>4.2049719563374035</v>
      </c>
      <c r="G50" s="1475">
        <v>7.4404877480486062E-2</v>
      </c>
      <c r="H50" s="1630">
        <v>657.95920370651857</v>
      </c>
      <c r="I50" s="1630"/>
      <c r="J50" s="809">
        <v>2.917697141310677E-2</v>
      </c>
      <c r="U50" s="779"/>
    </row>
    <row r="51" spans="1:21" s="778" customFormat="1" ht="18" customHeight="1">
      <c r="A51" s="783" t="s">
        <v>309</v>
      </c>
      <c r="B51" s="1476">
        <v>18.309000000000001</v>
      </c>
      <c r="C51" s="1474">
        <v>2.7103739790040957</v>
      </c>
      <c r="D51" s="1475">
        <v>0.14032137518684604</v>
      </c>
      <c r="E51" s="1476">
        <v>29.24</v>
      </c>
      <c r="F51" s="1474">
        <v>4.3285452589480453</v>
      </c>
      <c r="G51" s="1475">
        <v>5.6854736689919416E-2</v>
      </c>
      <c r="H51" s="1630">
        <v>675.51563517915304</v>
      </c>
      <c r="I51" s="1630"/>
      <c r="J51" s="809">
        <v>2.6683161165210304E-2</v>
      </c>
      <c r="U51" s="779"/>
    </row>
    <row r="52" spans="1:21" s="778" customFormat="1" ht="18" customHeight="1">
      <c r="A52" s="783" t="s">
        <v>319</v>
      </c>
      <c r="B52" s="1476">
        <v>20.274999999999999</v>
      </c>
      <c r="C52" s="1474">
        <v>2.7818726982034105</v>
      </c>
      <c r="D52" s="1475">
        <v>0.10737888470151277</v>
      </c>
      <c r="E52" s="1476">
        <v>33.135999999999996</v>
      </c>
      <c r="F52" s="1474">
        <v>4.5464924156679754</v>
      </c>
      <c r="G52" s="1475">
        <v>0.1332421340629274</v>
      </c>
      <c r="H52" s="1630">
        <v>728.82558619932547</v>
      </c>
      <c r="I52" s="1630"/>
      <c r="J52" s="809">
        <v>7.8917419884787926E-2</v>
      </c>
      <c r="U52" s="779"/>
    </row>
    <row r="53" spans="1:21" s="778" customFormat="1" ht="18" customHeight="1">
      <c r="A53" s="783" t="s">
        <v>332</v>
      </c>
      <c r="B53" s="1476">
        <v>18.03</v>
      </c>
      <c r="C53" s="1474">
        <v>2.4666707456438286</v>
      </c>
      <c r="D53" s="1475">
        <v>-0.11072749691738583</v>
      </c>
      <c r="E53" s="1476">
        <v>33.613999999999997</v>
      </c>
      <c r="F53" s="1474">
        <v>4.5987060701093538</v>
      </c>
      <c r="G53" s="1475">
        <v>1.4425398358281072E-2</v>
      </c>
      <c r="H53" s="1630">
        <v>730.94473722693658</v>
      </c>
      <c r="I53" s="1630"/>
      <c r="J53" s="809">
        <v>2.9076243586096421E-3</v>
      </c>
      <c r="U53" s="779"/>
    </row>
    <row r="54" spans="1:21" s="778" customFormat="1" ht="18" customHeight="1">
      <c r="A54" s="789" t="s">
        <v>345</v>
      </c>
      <c r="B54" s="1476">
        <v>17.015999999999998</v>
      </c>
      <c r="C54" s="1474">
        <v>2.3762441697239596</v>
      </c>
      <c r="D54" s="1475">
        <v>-5.6239600665557561E-2</v>
      </c>
      <c r="E54" s="1476">
        <v>30.463000000000001</v>
      </c>
      <c r="F54" s="1474">
        <v>4.2540859274977079</v>
      </c>
      <c r="G54" s="1475">
        <v>-9.3740703278395801E-2</v>
      </c>
      <c r="H54" s="1630">
        <v>716.08802735018139</v>
      </c>
      <c r="I54" s="1630"/>
      <c r="J54" s="809">
        <v>-2.0325353094570026E-2</v>
      </c>
      <c r="U54" s="779"/>
    </row>
    <row r="55" spans="1:21" s="778" customFormat="1" ht="18" customHeight="1">
      <c r="A55" s="783" t="s">
        <v>418</v>
      </c>
      <c r="B55" s="1476">
        <v>18.073</v>
      </c>
      <c r="C55" s="1474">
        <v>2.3223701110382633</v>
      </c>
      <c r="D55" s="1475">
        <v>6.2118006582040565E-2</v>
      </c>
      <c r="E55" s="1476">
        <v>29.068999999999999</v>
      </c>
      <c r="F55" s="1474">
        <v>3.7353497901715977</v>
      </c>
      <c r="G55" s="1475">
        <v>-4.576043068640652E-2</v>
      </c>
      <c r="H55" s="1630">
        <v>778.21359800053972</v>
      </c>
      <c r="I55" s="1630"/>
      <c r="J55" s="809">
        <v>8.6756890602190842E-2</v>
      </c>
      <c r="U55" s="779"/>
    </row>
    <row r="56" spans="1:21" s="778" customFormat="1" ht="18" customHeight="1">
      <c r="A56" s="783" t="s">
        <v>431</v>
      </c>
      <c r="B56" s="1476">
        <v>20.54</v>
      </c>
      <c r="C56" s="1474">
        <v>2.2995624777387964</v>
      </c>
      <c r="D56" s="1475">
        <v>0.13650196425607253</v>
      </c>
      <c r="E56" s="1476">
        <v>32.795999999999999</v>
      </c>
      <c r="F56" s="1474">
        <v>3.6716870019436008</v>
      </c>
      <c r="G56" s="1475">
        <v>0.12821218480167879</v>
      </c>
      <c r="H56" s="1630">
        <v>893.21339162732272</v>
      </c>
      <c r="I56" s="1630"/>
      <c r="J56" s="809">
        <v>0.14777407375333892</v>
      </c>
      <c r="U56" s="779"/>
    </row>
    <row r="57" spans="1:21" s="778" customFormat="1" ht="18" customHeight="1">
      <c r="A57" s="783" t="s">
        <v>504</v>
      </c>
      <c r="B57" s="1476">
        <v>21.51</v>
      </c>
      <c r="C57" s="1474">
        <v>2.1556864623691903</v>
      </c>
      <c r="D57" s="1475">
        <v>4.7224926971762532E-2</v>
      </c>
      <c r="E57" s="1476">
        <v>37.262000000000008</v>
      </c>
      <c r="F57" s="1474">
        <v>3.7343184082194694</v>
      </c>
      <c r="G57" s="1475">
        <v>0.13617514331016004</v>
      </c>
      <c r="H57" s="1630">
        <v>997.82600000000014</v>
      </c>
      <c r="I57" s="1630"/>
      <c r="J57" s="809">
        <v>0.11711939090174898</v>
      </c>
      <c r="U57" s="779"/>
    </row>
    <row r="58" spans="1:21" s="1227" customFormat="1" ht="18" customHeight="1" thickBot="1">
      <c r="A58" s="1483" t="s">
        <v>538</v>
      </c>
      <c r="B58" s="1484">
        <v>20.856285889999999</v>
      </c>
      <c r="C58" s="1485">
        <v>1.9910105748323081</v>
      </c>
      <c r="D58" s="1486">
        <v>-3.0391172013017328E-2</v>
      </c>
      <c r="E58" s="1484">
        <v>36.088956037999992</v>
      </c>
      <c r="F58" s="1485">
        <v>3.4451720447871299</v>
      </c>
      <c r="G58" s="1486">
        <v>-3.148097155278877E-2</v>
      </c>
      <c r="H58" s="1631">
        <v>1047.522607546</v>
      </c>
      <c r="I58" s="1631"/>
      <c r="J58" s="1487">
        <v>4.9804883362429796E-2</v>
      </c>
      <c r="U58" s="779"/>
    </row>
    <row r="59" spans="1:21" ht="13.5" thickTop="1"/>
  </sheetData>
  <mergeCells count="30">
    <mergeCell ref="H49:I49"/>
    <mergeCell ref="H58:I58"/>
    <mergeCell ref="H57:I57"/>
    <mergeCell ref="H56:I56"/>
    <mergeCell ref="H55:I55"/>
    <mergeCell ref="H54:I54"/>
    <mergeCell ref="H53:I53"/>
    <mergeCell ref="H52:I52"/>
    <mergeCell ref="H51:I51"/>
    <mergeCell ref="H50:I50"/>
    <mergeCell ref="A17:A18"/>
    <mergeCell ref="B17:D17"/>
    <mergeCell ref="E17:G17"/>
    <mergeCell ref="H17:J17"/>
    <mergeCell ref="A31:A32"/>
    <mergeCell ref="B31:D31"/>
    <mergeCell ref="E31:G31"/>
    <mergeCell ref="H31:J31"/>
    <mergeCell ref="A1:J1"/>
    <mergeCell ref="A2:J2"/>
    <mergeCell ref="A3:A4"/>
    <mergeCell ref="B3:D3"/>
    <mergeCell ref="E3:G3"/>
    <mergeCell ref="H3:J3"/>
    <mergeCell ref="H48:I48"/>
    <mergeCell ref="A46:A47"/>
    <mergeCell ref="B46:D46"/>
    <mergeCell ref="E46:G46"/>
    <mergeCell ref="H46:J46"/>
    <mergeCell ref="H47:I47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12" orientation="portrait" useFirstPageNumber="1" r:id="rId1"/>
  <headerFooter scaleWithDoc="0" alignWithMargins="0"/>
  <rowBreaks count="1" manualBreakCount="1">
    <brk id="44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00B050"/>
  </sheetPr>
  <dimension ref="A1:L30"/>
  <sheetViews>
    <sheetView zoomScaleNormal="100" zoomScaleSheetLayoutView="100" workbookViewId="0">
      <selection activeCell="M8" sqref="M8"/>
    </sheetView>
  </sheetViews>
  <sheetFormatPr defaultColWidth="9.140625" defaultRowHeight="12.75"/>
  <cols>
    <col min="1" max="1" width="8.85546875" style="176" customWidth="1"/>
    <col min="2" max="2" width="8.7109375" style="177" customWidth="1"/>
    <col min="3" max="3" width="9" style="176" customWidth="1"/>
    <col min="4" max="4" width="9.28515625" style="176" bestFit="1" customWidth="1"/>
    <col min="5" max="5" width="7.28515625" style="177" bestFit="1" customWidth="1"/>
    <col min="6" max="6" width="8.7109375" style="176" customWidth="1"/>
    <col min="7" max="7" width="9.28515625" style="176" bestFit="1" customWidth="1"/>
    <col min="8" max="8" width="7.28515625" style="177" customWidth="1"/>
    <col min="9" max="9" width="8.85546875" style="176" customWidth="1"/>
    <col min="10" max="16384" width="9.140625" style="176"/>
  </cols>
  <sheetData>
    <row r="1" spans="1:11" s="968" customFormat="1" ht="26.25" customHeight="1">
      <c r="A1" s="1636" t="s">
        <v>488</v>
      </c>
      <c r="B1" s="1637"/>
      <c r="C1" s="1637"/>
      <c r="D1" s="1637"/>
      <c r="E1" s="1637"/>
      <c r="F1" s="1637"/>
      <c r="G1" s="1637"/>
      <c r="H1" s="1637"/>
      <c r="I1" s="1637"/>
      <c r="J1" s="1638"/>
    </row>
    <row r="2" spans="1:11" s="160" customFormat="1" ht="19.149999999999999" customHeight="1">
      <c r="A2" s="1639" t="s">
        <v>417</v>
      </c>
      <c r="B2" s="1640"/>
      <c r="C2" s="1640"/>
      <c r="D2" s="1640"/>
      <c r="E2" s="1640"/>
      <c r="F2" s="1640"/>
      <c r="G2" s="1640"/>
      <c r="H2" s="1640"/>
      <c r="I2" s="1640"/>
      <c r="J2" s="1641"/>
    </row>
    <row r="3" spans="1:11" s="160" customFormat="1" ht="15" customHeight="1">
      <c r="A3" s="1642" t="s">
        <v>0</v>
      </c>
      <c r="B3" s="1634" t="s">
        <v>157</v>
      </c>
      <c r="C3" s="1644"/>
      <c r="D3" s="1635"/>
      <c r="E3" s="1634" t="s">
        <v>158</v>
      </c>
      <c r="F3" s="1644"/>
      <c r="G3" s="1635"/>
      <c r="H3" s="1634" t="s">
        <v>159</v>
      </c>
      <c r="I3" s="1644"/>
      <c r="J3" s="1645"/>
    </row>
    <row r="4" spans="1:11" s="969" customFormat="1" ht="15" customHeight="1">
      <c r="A4" s="1643"/>
      <c r="B4" s="1168" t="s">
        <v>24</v>
      </c>
      <c r="C4" s="1169" t="s">
        <v>132</v>
      </c>
      <c r="D4" s="1169" t="s">
        <v>25</v>
      </c>
      <c r="E4" s="1168" t="s">
        <v>24</v>
      </c>
      <c r="F4" s="1169" t="s">
        <v>132</v>
      </c>
      <c r="G4" s="1169" t="s">
        <v>25</v>
      </c>
      <c r="H4" s="1170" t="s">
        <v>24</v>
      </c>
      <c r="I4" s="1171" t="s">
        <v>132</v>
      </c>
      <c r="J4" s="1172" t="s">
        <v>25</v>
      </c>
    </row>
    <row r="5" spans="1:11" s="869" customFormat="1" ht="14.25" customHeight="1" thickBot="1">
      <c r="A5" s="945" t="s">
        <v>162</v>
      </c>
      <c r="B5" s="1509" t="s">
        <v>163</v>
      </c>
      <c r="C5" s="1509" t="s">
        <v>164</v>
      </c>
      <c r="D5" s="1509" t="s">
        <v>165</v>
      </c>
      <c r="E5" s="1509" t="s">
        <v>166</v>
      </c>
      <c r="F5" s="1509" t="s">
        <v>167</v>
      </c>
      <c r="G5" s="1509" t="s">
        <v>168</v>
      </c>
      <c r="H5" s="1509" t="s">
        <v>169</v>
      </c>
      <c r="I5" s="1509" t="s">
        <v>170</v>
      </c>
      <c r="J5" s="1510" t="s">
        <v>171</v>
      </c>
    </row>
    <row r="6" spans="1:11" s="161" customFormat="1" ht="18" customHeight="1" thickBot="1">
      <c r="A6" s="1506" t="s">
        <v>293</v>
      </c>
      <c r="B6" s="1511">
        <v>24.227</v>
      </c>
      <c r="C6" s="1512">
        <v>55.259796542128548</v>
      </c>
      <c r="D6" s="1513">
        <v>-3.8229456133386304E-2</v>
      </c>
      <c r="E6" s="1514">
        <v>10.122999999999999</v>
      </c>
      <c r="F6" s="1512">
        <v>23.089731307878289</v>
      </c>
      <c r="G6" s="1513">
        <v>-0.17812779085816358</v>
      </c>
      <c r="H6" s="1514">
        <v>9.4920000000000009</v>
      </c>
      <c r="I6" s="1512">
        <v>21.65047214999316</v>
      </c>
      <c r="J6" s="1513">
        <v>-0.11808975192790105</v>
      </c>
      <c r="K6" s="1505"/>
    </row>
    <row r="7" spans="1:11" s="161" customFormat="1" ht="18" customHeight="1" thickBot="1">
      <c r="A7" s="1506" t="s">
        <v>301</v>
      </c>
      <c r="B7" s="1511">
        <v>26.204000000000001</v>
      </c>
      <c r="C7" s="1512">
        <v>57.934998894539021</v>
      </c>
      <c r="D7" s="1513">
        <v>8.1603170016923285E-2</v>
      </c>
      <c r="E7" s="1511">
        <v>10.545999999999999</v>
      </c>
      <c r="F7" s="1512">
        <v>23.316382931682508</v>
      </c>
      <c r="G7" s="1513">
        <v>4.1786031808752351E-2</v>
      </c>
      <c r="H7" s="1511">
        <v>8.48</v>
      </c>
      <c r="I7" s="1512">
        <v>18.748618173778464</v>
      </c>
      <c r="J7" s="1513">
        <v>-0.10661609776654028</v>
      </c>
      <c r="K7" s="1505"/>
    </row>
    <row r="8" spans="1:11" s="161" customFormat="1" ht="18" customHeight="1" thickBot="1">
      <c r="A8" s="1506" t="s">
        <v>309</v>
      </c>
      <c r="B8" s="1511">
        <v>23.568999999999999</v>
      </c>
      <c r="C8" s="1512">
        <v>50.529542920847263</v>
      </c>
      <c r="D8" s="1513">
        <v>-0.10055716684475659</v>
      </c>
      <c r="E8" s="1511">
        <v>13.781000000000001</v>
      </c>
      <c r="F8" s="1512">
        <v>29.54506474573364</v>
      </c>
      <c r="G8" s="1513">
        <v>0.3067513749288831</v>
      </c>
      <c r="H8" s="1511">
        <v>9.2940000000000005</v>
      </c>
      <c r="I8" s="1512">
        <v>19.92539233341909</v>
      </c>
      <c r="J8" s="1513">
        <v>9.5990566037735855E-2</v>
      </c>
    </row>
    <row r="9" spans="1:11" s="161" customFormat="1" ht="18" customHeight="1" thickBot="1">
      <c r="A9" s="1506" t="s">
        <v>319</v>
      </c>
      <c r="B9" s="1511">
        <v>23.041</v>
      </c>
      <c r="C9" s="1512">
        <v>52.031253528442065</v>
      </c>
      <c r="D9" s="1513">
        <v>-2.2402308116593776E-2</v>
      </c>
      <c r="E9" s="1511">
        <v>12.566000000000001</v>
      </c>
      <c r="F9" s="1512">
        <v>28.376577919291829</v>
      </c>
      <c r="G9" s="1513">
        <v>-8.8164864668746817E-2</v>
      </c>
      <c r="H9" s="1511">
        <v>8.6760000000000002</v>
      </c>
      <c r="I9" s="1512">
        <v>19.592168552266106</v>
      </c>
      <c r="J9" s="1513">
        <v>-6.6494512588766971E-2</v>
      </c>
    </row>
    <row r="10" spans="1:11" s="161" customFormat="1" ht="18" customHeight="1" thickBot="1">
      <c r="A10" s="1506" t="s">
        <v>332</v>
      </c>
      <c r="B10" s="1511">
        <v>23.515999999999998</v>
      </c>
      <c r="C10" s="1512">
        <v>55.862789813759029</v>
      </c>
      <c r="D10" s="1513">
        <v>2.0615424677748267E-2</v>
      </c>
      <c r="E10" s="1511">
        <v>10.356999999999999</v>
      </c>
      <c r="F10" s="1512">
        <v>24.603287723299122</v>
      </c>
      <c r="G10" s="1513">
        <v>-0.17579181919465234</v>
      </c>
      <c r="H10" s="1511">
        <v>8.2230000000000008</v>
      </c>
      <c r="I10" s="1512">
        <v>19.533922462941849</v>
      </c>
      <c r="J10" s="1513">
        <v>-5.2213001383125797E-2</v>
      </c>
      <c r="K10" s="1505"/>
    </row>
    <row r="11" spans="1:11" s="161" customFormat="1" ht="18" customHeight="1" thickBot="1">
      <c r="A11" s="1507" t="s">
        <v>345</v>
      </c>
      <c r="B11" s="1511">
        <v>18.026</v>
      </c>
      <c r="C11" s="1512">
        <v>47.568280775827951</v>
      </c>
      <c r="D11" s="1513">
        <v>-0.23345807110052724</v>
      </c>
      <c r="E11" s="1511">
        <v>10.813000000000001</v>
      </c>
      <c r="F11" s="1512">
        <v>28.534107402031932</v>
      </c>
      <c r="G11" s="1513">
        <v>4.4028193492324161E-2</v>
      </c>
      <c r="H11" s="1511">
        <v>9.0559999999999992</v>
      </c>
      <c r="I11" s="1512">
        <v>23.897611822140124</v>
      </c>
      <c r="J11" s="1513">
        <v>0.10130122826219121</v>
      </c>
      <c r="K11" s="1505"/>
    </row>
    <row r="12" spans="1:11" s="161" customFormat="1" ht="18" customHeight="1" thickBot="1">
      <c r="A12" s="1506" t="s">
        <v>418</v>
      </c>
      <c r="B12" s="1511">
        <v>23.635000000000002</v>
      </c>
      <c r="C12" s="1512">
        <v>49.766276425503236</v>
      </c>
      <c r="D12" s="1513">
        <v>0.31116165538666379</v>
      </c>
      <c r="E12" s="1511">
        <v>13.331</v>
      </c>
      <c r="F12" s="1512">
        <v>28.069990735281728</v>
      </c>
      <c r="G12" s="1513">
        <v>0.23286784426153692</v>
      </c>
      <c r="H12" s="1511">
        <v>10.526</v>
      </c>
      <c r="I12" s="1512">
        <v>22.163732839215022</v>
      </c>
      <c r="J12" s="1513">
        <v>0.16232332155477042</v>
      </c>
    </row>
    <row r="13" spans="1:11" s="161" customFormat="1" ht="18" customHeight="1" thickBot="1">
      <c r="A13" s="1506" t="s">
        <v>431</v>
      </c>
      <c r="B13" s="1511">
        <v>21.518999999999998</v>
      </c>
      <c r="C13" s="1512">
        <v>48.874605373730944</v>
      </c>
      <c r="D13" s="1513">
        <v>-8.9528242013962478E-2</v>
      </c>
      <c r="E13" s="1511">
        <v>12.313000000000001</v>
      </c>
      <c r="F13" s="1512">
        <v>27.965658997478936</v>
      </c>
      <c r="G13" s="1513">
        <v>-7.6363363588627928E-2</v>
      </c>
      <c r="H13" s="1511">
        <v>10.196999999999999</v>
      </c>
      <c r="I13" s="1512">
        <v>23.159735628790116</v>
      </c>
      <c r="J13" s="1513">
        <v>-3.1255937678130404E-2</v>
      </c>
      <c r="K13" s="1505"/>
    </row>
    <row r="14" spans="1:11" s="161" customFormat="1" ht="18" customHeight="1" thickBot="1">
      <c r="A14" s="1506" t="s">
        <v>504</v>
      </c>
      <c r="B14" s="1511">
        <v>21.58</v>
      </c>
      <c r="C14" s="1512">
        <v>50.278418489783554</v>
      </c>
      <c r="D14" s="1513">
        <v>2.8347042148798712E-3</v>
      </c>
      <c r="E14" s="1511">
        <v>11.326000000000001</v>
      </c>
      <c r="F14" s="1512">
        <v>26.388015190699196</v>
      </c>
      <c r="G14" s="1513">
        <v>-8.0159181353041509E-2</v>
      </c>
      <c r="H14" s="1511">
        <v>10.015000000000001</v>
      </c>
      <c r="I14" s="1512">
        <v>23.333566319517253</v>
      </c>
      <c r="J14" s="1513">
        <v>-1.7848386780425479E-2</v>
      </c>
      <c r="K14" s="1505"/>
    </row>
    <row r="15" spans="1:11" s="1254" customFormat="1" ht="18" customHeight="1" thickBot="1">
      <c r="A15" s="1508" t="s">
        <v>538</v>
      </c>
      <c r="B15" s="1515">
        <v>21.959744080000004</v>
      </c>
      <c r="C15" s="1516">
        <v>48.655089851602376</v>
      </c>
      <c r="D15" s="1517">
        <v>1.7597037998146683E-2</v>
      </c>
      <c r="E15" s="1515">
        <v>13.298650594</v>
      </c>
      <c r="F15" s="1516">
        <v>29.46514482131138</v>
      </c>
      <c r="G15" s="1517">
        <v>0.1741701036553063</v>
      </c>
      <c r="H15" s="1515">
        <v>9.8751034799999999</v>
      </c>
      <c r="I15" s="1516">
        <v>21.879765327086236</v>
      </c>
      <c r="J15" s="1517">
        <v>-1.3968698951572704E-2</v>
      </c>
    </row>
    <row r="16" spans="1:11" s="160" customFormat="1" ht="16.5" customHeight="1">
      <c r="A16" s="811"/>
      <c r="B16" s="812"/>
      <c r="C16" s="813"/>
      <c r="D16" s="161"/>
      <c r="E16" s="161"/>
      <c r="F16" s="161"/>
      <c r="G16" s="161"/>
      <c r="H16" s="161"/>
      <c r="I16" s="161"/>
      <c r="J16" s="161"/>
      <c r="K16" s="161"/>
    </row>
    <row r="17" spans="1:12" s="160" customFormat="1">
      <c r="A17" s="1632" t="s">
        <v>0</v>
      </c>
      <c r="B17" s="1634" t="s">
        <v>141</v>
      </c>
      <c r="C17" s="1635"/>
      <c r="D17" s="161"/>
      <c r="E17" s="161"/>
      <c r="F17" s="161"/>
      <c r="G17" s="161"/>
      <c r="H17" s="161"/>
      <c r="I17" s="161"/>
      <c r="J17" s="161"/>
      <c r="K17" s="161"/>
    </row>
    <row r="18" spans="1:12" s="160" customFormat="1">
      <c r="A18" s="1633"/>
      <c r="B18" s="1166" t="s">
        <v>24</v>
      </c>
      <c r="C18" s="1165" t="s">
        <v>25</v>
      </c>
      <c r="D18" s="161"/>
      <c r="E18" s="161"/>
      <c r="F18" s="161"/>
      <c r="G18" s="161"/>
      <c r="H18" s="161"/>
      <c r="I18" s="161"/>
      <c r="J18" s="161"/>
      <c r="K18" s="161"/>
    </row>
    <row r="19" spans="1:12" s="160" customFormat="1">
      <c r="A19" s="945" t="s">
        <v>172</v>
      </c>
      <c r="B19" s="946" t="s">
        <v>173</v>
      </c>
      <c r="C19" s="946" t="s">
        <v>174</v>
      </c>
      <c r="D19" s="161"/>
      <c r="E19" s="161"/>
      <c r="F19" s="161"/>
      <c r="G19" s="161"/>
      <c r="H19" s="161"/>
      <c r="I19" s="161"/>
      <c r="J19" s="161"/>
      <c r="K19" s="161"/>
    </row>
    <row r="20" spans="1:12" s="161" customFormat="1" ht="18" customHeight="1">
      <c r="A20" s="359" t="s">
        <v>293</v>
      </c>
      <c r="B20" s="1501">
        <v>43.841999999999999</v>
      </c>
      <c r="C20" s="1502">
        <v>-9.1733996270975712E-2</v>
      </c>
      <c r="L20" s="1254"/>
    </row>
    <row r="21" spans="1:12" s="161" customFormat="1" ht="18" customHeight="1">
      <c r="A21" s="359" t="s">
        <v>301</v>
      </c>
      <c r="B21" s="1501">
        <v>45.230000000000004</v>
      </c>
      <c r="C21" s="1502">
        <v>3.1659139637790365E-2</v>
      </c>
      <c r="L21" s="1254"/>
    </row>
    <row r="22" spans="1:12" s="161" customFormat="1" ht="18" customHeight="1">
      <c r="A22" s="359" t="s">
        <v>309</v>
      </c>
      <c r="B22" s="1501">
        <v>46.644000000000005</v>
      </c>
      <c r="C22" s="1502">
        <v>3.1262436435993843E-2</v>
      </c>
      <c r="L22" s="1254"/>
    </row>
    <row r="23" spans="1:12" s="161" customFormat="1" ht="18" customHeight="1">
      <c r="A23" s="299" t="s">
        <v>319</v>
      </c>
      <c r="B23" s="1501">
        <v>44.283000000000001</v>
      </c>
      <c r="C23" s="1502">
        <v>-5.0617442757911073E-2</v>
      </c>
      <c r="L23" s="1254"/>
    </row>
    <row r="24" spans="1:12" s="161" customFormat="1" ht="18" customHeight="1">
      <c r="A24" s="359" t="s">
        <v>332</v>
      </c>
      <c r="B24" s="1501">
        <v>42.095999999999997</v>
      </c>
      <c r="C24" s="1502">
        <v>-4.9386897906645993E-2</v>
      </c>
      <c r="L24" s="1254"/>
    </row>
    <row r="25" spans="1:12" s="161" customFormat="1" ht="18" customHeight="1">
      <c r="A25" s="408" t="s">
        <v>345</v>
      </c>
      <c r="B25" s="1501">
        <v>37.894999999999996</v>
      </c>
      <c r="C25" s="1502">
        <v>-9.9795705055112149E-2</v>
      </c>
      <c r="L25" s="1254"/>
    </row>
    <row r="26" spans="1:12" s="161" customFormat="1" ht="18" customHeight="1">
      <c r="A26" s="359" t="s">
        <v>418</v>
      </c>
      <c r="B26" s="1503">
        <v>47.492000000000004</v>
      </c>
      <c r="C26" s="1504">
        <v>0.25325240796938936</v>
      </c>
    </row>
    <row r="27" spans="1:12" s="161" customFormat="1" ht="18" customHeight="1">
      <c r="A27" s="359" t="s">
        <v>431</v>
      </c>
      <c r="B27" s="1503">
        <v>44.028999999999996</v>
      </c>
      <c r="C27" s="1504">
        <v>-7.2917544007411933E-2</v>
      </c>
    </row>
    <row r="28" spans="1:12" s="161" customFormat="1" ht="18" customHeight="1">
      <c r="A28" s="359" t="s">
        <v>504</v>
      </c>
      <c r="B28" s="1503">
        <v>42.920999999999999</v>
      </c>
      <c r="C28" s="1504">
        <v>-2.5165232006177679E-2</v>
      </c>
    </row>
    <row r="29" spans="1:12" s="1254" customFormat="1" ht="18" customHeight="1" thickBot="1">
      <c r="A29" s="1278" t="s">
        <v>538</v>
      </c>
      <c r="B29" s="1501">
        <v>45.133498154000009</v>
      </c>
      <c r="C29" s="1502">
        <v>5.1548150182894374E-2</v>
      </c>
      <c r="D29" s="161"/>
      <c r="E29" s="161"/>
      <c r="F29" s="161"/>
      <c r="G29" s="161"/>
      <c r="H29" s="161"/>
      <c r="I29" s="161"/>
      <c r="J29" s="161"/>
      <c r="K29" s="161"/>
    </row>
    <row r="30" spans="1:12" ht="13.5" thickTop="1"/>
  </sheetData>
  <mergeCells count="8">
    <mergeCell ref="A17:A18"/>
    <mergeCell ref="B17:C17"/>
    <mergeCell ref="A1:J1"/>
    <mergeCell ref="A2:J2"/>
    <mergeCell ref="A3:A4"/>
    <mergeCell ref="B3:D3"/>
    <mergeCell ref="E3:G3"/>
    <mergeCell ref="H3:J3"/>
  </mergeCells>
  <printOptions horizontalCentered="1"/>
  <pageMargins left="0.39370078740157483" right="0.39370078740157483" top="0.59055118110236227" bottom="0.47244094488188981" header="0.19685039370078741" footer="0.19685039370078741"/>
  <pageSetup paperSize="9" firstPageNumber="14" orientation="portrait" useFirstPageNumber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rgb="FFFFFF00"/>
  </sheetPr>
  <dimension ref="A1:N137"/>
  <sheetViews>
    <sheetView workbookViewId="0">
      <pane ySplit="5" topLeftCell="A63" activePane="bottomLeft" state="frozen"/>
      <selection activeCell="L24" sqref="L24"/>
      <selection pane="bottomLeft" activeCell="L81" sqref="L81"/>
    </sheetView>
  </sheetViews>
  <sheetFormatPr defaultRowHeight="12.75"/>
  <cols>
    <col min="1" max="1" width="8.28515625" customWidth="1"/>
    <col min="4" max="4" width="9.28515625" customWidth="1"/>
    <col min="6" max="6" width="10.140625" customWidth="1"/>
    <col min="7" max="7" width="9.85546875" customWidth="1"/>
    <col min="9" max="9" width="9.28515625" customWidth="1"/>
    <col min="10" max="10" width="9.85546875" customWidth="1"/>
  </cols>
  <sheetData>
    <row r="1" spans="1:10" ht="15">
      <c r="A1" s="7" t="s">
        <v>134</v>
      </c>
      <c r="B1" s="6"/>
      <c r="C1" s="2"/>
      <c r="D1" s="2"/>
      <c r="E1" s="5"/>
      <c r="F1" s="2"/>
      <c r="G1" s="2"/>
      <c r="H1" s="5"/>
      <c r="I1" s="2"/>
      <c r="J1" s="2"/>
    </row>
    <row r="2" spans="1:10">
      <c r="A2" s="1"/>
      <c r="B2" s="16" t="s">
        <v>255</v>
      </c>
      <c r="C2" s="1"/>
      <c r="D2" s="1"/>
      <c r="E2" s="6"/>
      <c r="F2" s="1"/>
      <c r="G2" s="1"/>
      <c r="H2" s="6"/>
      <c r="I2" s="1"/>
      <c r="J2" s="1"/>
    </row>
    <row r="3" spans="1:10">
      <c r="A3" s="1647" t="s">
        <v>0</v>
      </c>
      <c r="B3" s="1649" t="s">
        <v>209</v>
      </c>
      <c r="C3" s="1646"/>
      <c r="D3" s="1650"/>
      <c r="E3" s="1651" t="s">
        <v>21</v>
      </c>
      <c r="F3" s="1651"/>
      <c r="G3" s="1649"/>
      <c r="H3" s="1649" t="s">
        <v>22</v>
      </c>
      <c r="I3" s="1646"/>
      <c r="J3" s="1646"/>
    </row>
    <row r="4" spans="1:10">
      <c r="A4" s="1648"/>
      <c r="B4" s="132" t="s">
        <v>24</v>
      </c>
      <c r="C4" s="130" t="s">
        <v>132</v>
      </c>
      <c r="D4" s="130" t="s">
        <v>25</v>
      </c>
      <c r="E4" s="132" t="s">
        <v>24</v>
      </c>
      <c r="F4" s="130" t="s">
        <v>132</v>
      </c>
      <c r="G4" s="130" t="s">
        <v>25</v>
      </c>
      <c r="H4" s="133" t="s">
        <v>24</v>
      </c>
      <c r="I4" s="134" t="s">
        <v>132</v>
      </c>
      <c r="J4" s="135" t="s">
        <v>25</v>
      </c>
    </row>
    <row r="5" spans="1:10">
      <c r="A5" s="9" t="s">
        <v>162</v>
      </c>
      <c r="B5" s="10" t="s">
        <v>163</v>
      </c>
      <c r="C5" s="10" t="s">
        <v>164</v>
      </c>
      <c r="D5" s="10" t="s">
        <v>165</v>
      </c>
      <c r="E5" s="10" t="s">
        <v>166</v>
      </c>
      <c r="F5" s="10" t="s">
        <v>167</v>
      </c>
      <c r="G5" s="10" t="s">
        <v>168</v>
      </c>
      <c r="H5" s="10" t="s">
        <v>169</v>
      </c>
      <c r="I5" s="10" t="s">
        <v>170</v>
      </c>
      <c r="J5" s="9" t="s">
        <v>171</v>
      </c>
    </row>
    <row r="6" spans="1:10">
      <c r="A6" s="38" t="s">
        <v>126</v>
      </c>
      <c r="B6" s="16"/>
      <c r="C6" s="14"/>
      <c r="D6" s="15"/>
      <c r="E6" s="16">
        <v>1.101</v>
      </c>
      <c r="F6" s="14">
        <v>0.27049005132186349</v>
      </c>
      <c r="G6" s="15">
        <v>75.318471337579609</v>
      </c>
      <c r="H6" s="16">
        <v>76.358000000000004</v>
      </c>
      <c r="I6" s="14">
        <v>18.759381779141556</v>
      </c>
      <c r="J6" s="14">
        <v>10.259483343681868</v>
      </c>
    </row>
    <row r="7" spans="1:10">
      <c r="A7" s="38" t="s">
        <v>128</v>
      </c>
      <c r="B7" s="16"/>
      <c r="C7" s="14"/>
      <c r="D7" s="15"/>
      <c r="E7" s="16">
        <v>1.05</v>
      </c>
      <c r="F7" s="14">
        <v>0.24371448731756226</v>
      </c>
      <c r="G7" s="15">
        <v>-4.6321525885558525</v>
      </c>
      <c r="H7" s="16">
        <v>83.241</v>
      </c>
      <c r="I7" s="14">
        <v>19.320988227429716</v>
      </c>
      <c r="J7" s="14">
        <v>9.0141177086880155</v>
      </c>
    </row>
    <row r="8" spans="1:10">
      <c r="A8" s="38" t="s">
        <v>133</v>
      </c>
      <c r="B8" s="16">
        <v>7.9000000000000001E-2</v>
      </c>
      <c r="C8" s="14">
        <v>1.728355087270993E-2</v>
      </c>
      <c r="D8" s="15">
        <v>0</v>
      </c>
      <c r="E8" s="16">
        <v>1.101</v>
      </c>
      <c r="F8" s="14">
        <v>0.24087581659308394</v>
      </c>
      <c r="G8" s="15">
        <v>4.8571428571428505</v>
      </c>
      <c r="H8" s="16">
        <v>90.172000000000011</v>
      </c>
      <c r="I8" s="14">
        <v>19.727751256886076</v>
      </c>
      <c r="J8" s="14">
        <v>8.3264256796530702</v>
      </c>
    </row>
    <row r="9" spans="1:10">
      <c r="A9" s="38" t="s">
        <v>211</v>
      </c>
      <c r="B9" s="16">
        <v>0.14199999999999999</v>
      </c>
      <c r="C9" s="14">
        <v>2.8817449574536733E-2</v>
      </c>
      <c r="D9" s="15">
        <v>79.746835443037966</v>
      </c>
      <c r="E9" s="16">
        <v>1.0089999999999999</v>
      </c>
      <c r="F9" s="14">
        <v>0.20476624380779976</v>
      </c>
      <c r="G9" s="15">
        <v>-8.3560399636693994</v>
      </c>
      <c r="H9" s="16">
        <v>101.922</v>
      </c>
      <c r="I9" s="14">
        <v>20.684028841802345</v>
      </c>
      <c r="J9" s="14">
        <v>13.030652530719053</v>
      </c>
    </row>
    <row r="10" spans="1:10">
      <c r="A10" s="38" t="s">
        <v>219</v>
      </c>
      <c r="B10" s="16">
        <v>0.251</v>
      </c>
      <c r="C10" s="14">
        <v>4.7176726649399862E-2</v>
      </c>
      <c r="D10" s="15">
        <v>76.76056338028171</v>
      </c>
      <c r="E10" s="16">
        <v>1.113</v>
      </c>
      <c r="F10" s="14">
        <v>0.20919401099913162</v>
      </c>
      <c r="G10" s="15">
        <v>10.307234886025778</v>
      </c>
      <c r="H10" s="16">
        <v>109.953</v>
      </c>
      <c r="I10" s="14">
        <v>20.666225598730929</v>
      </c>
      <c r="J10" s="14">
        <v>7.8795549537881966</v>
      </c>
    </row>
    <row r="11" spans="1:10">
      <c r="A11" s="38" t="s">
        <v>222</v>
      </c>
      <c r="B11" s="3">
        <v>0.29899999999999999</v>
      </c>
      <c r="C11" s="14">
        <v>5.6129785580464581E-2</v>
      </c>
      <c r="D11" s="15">
        <v>19.123505976095615</v>
      </c>
      <c r="E11" s="3">
        <v>1.101</v>
      </c>
      <c r="F11" s="14">
        <v>0.20668526396017226</v>
      </c>
      <c r="G11" s="15">
        <v>-1.078167115902966</v>
      </c>
      <c r="H11" s="3">
        <v>113.825</v>
      </c>
      <c r="I11" s="14">
        <v>21.367802152830709</v>
      </c>
      <c r="J11" s="14">
        <v>3.521504642892872</v>
      </c>
    </row>
    <row r="12" spans="1:10">
      <c r="A12" s="38" t="s">
        <v>226</v>
      </c>
      <c r="B12" s="39">
        <v>0.221</v>
      </c>
      <c r="C12" s="14">
        <v>4.0929715714418009E-2</v>
      </c>
      <c r="D12" s="15">
        <v>-26.086956521739129</v>
      </c>
      <c r="E12" s="39">
        <v>0.60199999999999998</v>
      </c>
      <c r="F12" s="14">
        <v>0.11149180479674045</v>
      </c>
      <c r="G12" s="15">
        <v>-45.322434150772025</v>
      </c>
      <c r="H12" s="39">
        <v>113.958</v>
      </c>
      <c r="I12" s="14">
        <v>21.105287526622838</v>
      </c>
      <c r="J12" s="14">
        <v>0.11684603558093175</v>
      </c>
    </row>
    <row r="13" spans="1:10">
      <c r="A13" s="38" t="s">
        <v>229</v>
      </c>
      <c r="B13" s="39">
        <v>7.2999999999999995E-2</v>
      </c>
      <c r="C13" s="14">
        <v>1.3120010352227348E-2</v>
      </c>
      <c r="D13" s="15">
        <v>-66.968325791855207</v>
      </c>
      <c r="E13" s="39">
        <v>0.60499999999999998</v>
      </c>
      <c r="F13" s="14">
        <v>0.10873433237119925</v>
      </c>
      <c r="G13" s="15">
        <v>0.49833887043189412</v>
      </c>
      <c r="H13" s="33">
        <v>117.83</v>
      </c>
      <c r="I13" s="14">
        <v>21.177134517848607</v>
      </c>
      <c r="J13" s="14">
        <v>3.397743028133172</v>
      </c>
    </row>
    <row r="14" spans="1:10">
      <c r="A14" s="38" t="s">
        <v>258</v>
      </c>
      <c r="B14" s="16">
        <v>0</v>
      </c>
      <c r="C14" s="14">
        <v>0</v>
      </c>
      <c r="D14" s="136"/>
      <c r="E14" s="16">
        <v>0.66400000000000003</v>
      </c>
      <c r="F14" s="14">
        <v>0.11736321617632761</v>
      </c>
      <c r="G14" s="136">
        <v>9.7520661157024886</v>
      </c>
      <c r="H14" s="16">
        <v>127.095</v>
      </c>
      <c r="I14" s="14">
        <v>22.464274036039694</v>
      </c>
      <c r="J14" s="131">
        <v>7.863022999236188</v>
      </c>
    </row>
    <row r="15" spans="1:10">
      <c r="A15" s="40" t="s">
        <v>281</v>
      </c>
      <c r="B15" s="37">
        <v>0</v>
      </c>
      <c r="C15" s="137">
        <v>0</v>
      </c>
      <c r="D15" s="145"/>
      <c r="E15" s="32">
        <v>0.77900000000000003</v>
      </c>
      <c r="F15" s="137">
        <v>0.12787702793431815</v>
      </c>
      <c r="G15" s="138">
        <v>17.319277108433734</v>
      </c>
      <c r="H15" s="34">
        <v>134.76400000000001</v>
      </c>
      <c r="I15" s="137">
        <v>22.122233366547434</v>
      </c>
      <c r="J15" s="137">
        <v>6.0340690035013269</v>
      </c>
    </row>
    <row r="16" spans="1:10">
      <c r="A16" s="32"/>
      <c r="B16" s="34"/>
      <c r="C16" s="32"/>
      <c r="D16" s="32"/>
      <c r="E16" s="34"/>
      <c r="F16" s="32"/>
      <c r="G16" s="32"/>
      <c r="H16" s="16"/>
      <c r="I16" s="3"/>
      <c r="J16" s="3"/>
    </row>
    <row r="17" spans="1:10">
      <c r="A17" s="1647" t="s">
        <v>0</v>
      </c>
      <c r="B17" s="1651" t="s">
        <v>23</v>
      </c>
      <c r="C17" s="1651"/>
      <c r="D17" s="1651"/>
      <c r="E17" s="1649" t="s">
        <v>26</v>
      </c>
      <c r="F17" s="1646"/>
      <c r="G17" s="1646"/>
      <c r="H17" s="1649" t="s">
        <v>27</v>
      </c>
      <c r="I17" s="1646"/>
      <c r="J17" s="1646"/>
    </row>
    <row r="18" spans="1:10">
      <c r="A18" s="1648"/>
      <c r="B18" s="132" t="s">
        <v>24</v>
      </c>
      <c r="C18" s="130" t="s">
        <v>132</v>
      </c>
      <c r="D18" s="130" t="s">
        <v>25</v>
      </c>
      <c r="E18" s="132" t="s">
        <v>24</v>
      </c>
      <c r="F18" s="130" t="s">
        <v>132</v>
      </c>
      <c r="G18" s="130" t="s">
        <v>25</v>
      </c>
      <c r="H18" s="139" t="s">
        <v>24</v>
      </c>
      <c r="I18" s="140" t="s">
        <v>132</v>
      </c>
      <c r="J18" s="141" t="s">
        <v>25</v>
      </c>
    </row>
    <row r="19" spans="1:10">
      <c r="A19" s="9" t="s">
        <v>172</v>
      </c>
      <c r="B19" s="10" t="s">
        <v>173</v>
      </c>
      <c r="C19" s="10" t="s">
        <v>174</v>
      </c>
      <c r="D19" s="10" t="s">
        <v>175</v>
      </c>
      <c r="E19" s="10" t="s">
        <v>176</v>
      </c>
      <c r="F19" s="21" t="s">
        <v>177</v>
      </c>
      <c r="G19" s="21" t="s">
        <v>178</v>
      </c>
      <c r="H19" s="128" t="s">
        <v>179</v>
      </c>
      <c r="I19" s="21" t="s">
        <v>180</v>
      </c>
      <c r="J19" s="22" t="s">
        <v>181</v>
      </c>
    </row>
    <row r="20" spans="1:10">
      <c r="A20" s="38" t="s">
        <v>126</v>
      </c>
      <c r="B20" s="16">
        <v>1.9E-2</v>
      </c>
      <c r="C20" s="14">
        <v>4.6678573797596786E-3</v>
      </c>
      <c r="D20" s="15">
        <v>-17.39130434782609</v>
      </c>
      <c r="E20" s="33">
        <v>85.423000000000002</v>
      </c>
      <c r="F20" s="14">
        <v>20.986441102695316</v>
      </c>
      <c r="G20" s="15">
        <v>9.4633383736128618</v>
      </c>
      <c r="H20" s="16">
        <v>55.579000000000001</v>
      </c>
      <c r="I20" s="14">
        <v>13.654465542613853</v>
      </c>
      <c r="J20" s="14">
        <v>5.8425853630667817</v>
      </c>
    </row>
    <row r="21" spans="1:10">
      <c r="A21" s="38" t="s">
        <v>128</v>
      </c>
      <c r="B21" s="16">
        <v>1.6E-2</v>
      </c>
      <c r="C21" s="14">
        <v>3.7137445686485681E-3</v>
      </c>
      <c r="D21" s="15">
        <v>-15.789473684210524</v>
      </c>
      <c r="E21" s="33">
        <v>88.76400000000001</v>
      </c>
      <c r="F21" s="14">
        <v>20.602926430720096</v>
      </c>
      <c r="G21" s="15">
        <v>3.9111246385633942</v>
      </c>
      <c r="H21" s="16">
        <v>59.725999999999999</v>
      </c>
      <c r="I21" s="14">
        <v>13.862944256694023</v>
      </c>
      <c r="J21" s="14">
        <v>7.4614512675650841</v>
      </c>
    </row>
    <row r="22" spans="1:10">
      <c r="A22" s="38" t="s">
        <v>133</v>
      </c>
      <c r="B22" s="16">
        <v>1.7000000000000001E-2</v>
      </c>
      <c r="C22" s="14">
        <v>3.7192451245072005E-3</v>
      </c>
      <c r="D22" s="15">
        <v>6.2500000000000053</v>
      </c>
      <c r="E22" s="33">
        <v>90.89500000000001</v>
      </c>
      <c r="F22" s="14">
        <v>19.885928564240118</v>
      </c>
      <c r="G22" s="15">
        <v>2.4007480510116714</v>
      </c>
      <c r="H22" s="16">
        <v>67.840999999999994</v>
      </c>
      <c r="I22" s="14">
        <v>14.842194617158409</v>
      </c>
      <c r="J22" s="14">
        <v>13.587047516994266</v>
      </c>
    </row>
    <row r="23" spans="1:10">
      <c r="A23" s="38" t="s">
        <v>211</v>
      </c>
      <c r="B23" s="16">
        <v>1.0999999999999999E-2</v>
      </c>
      <c r="C23" s="14">
        <v>2.2323376430979157E-3</v>
      </c>
      <c r="D23" s="15">
        <v>-35.294117647058833</v>
      </c>
      <c r="E23" s="33">
        <v>96.272000000000006</v>
      </c>
      <c r="F23" s="14">
        <v>19.537419052392963</v>
      </c>
      <c r="G23" s="15">
        <v>5.915616920622691</v>
      </c>
      <c r="H23" s="16">
        <v>71.325000000000003</v>
      </c>
      <c r="I23" s="14">
        <v>14.474680217632624</v>
      </c>
      <c r="J23" s="14">
        <v>5.1355375068174247</v>
      </c>
    </row>
    <row r="24" spans="1:10">
      <c r="A24" s="38" t="s">
        <v>219</v>
      </c>
      <c r="B24" s="16">
        <v>2.3E-2</v>
      </c>
      <c r="C24" s="14">
        <v>4.3229669838095487E-3</v>
      </c>
      <c r="D24" s="15">
        <v>109.09090909090909</v>
      </c>
      <c r="E24" s="33">
        <v>105.917</v>
      </c>
      <c r="F24" s="14">
        <v>19.907638870615479</v>
      </c>
      <c r="G24" s="15">
        <v>10.018489280372274</v>
      </c>
      <c r="H24" s="16">
        <v>74.074000000000012</v>
      </c>
      <c r="I24" s="14">
        <v>13.922585059074285</v>
      </c>
      <c r="J24" s="14">
        <v>3.8541885734314887</v>
      </c>
    </row>
    <row r="25" spans="1:10">
      <c r="A25" s="38" t="s">
        <v>222</v>
      </c>
      <c r="B25" s="3">
        <v>2.3E-2</v>
      </c>
      <c r="C25" s="14">
        <v>4.3176758138818907E-3</v>
      </c>
      <c r="D25" s="15">
        <v>0</v>
      </c>
      <c r="E25" s="3">
        <v>108.949</v>
      </c>
      <c r="F25" s="14">
        <v>20.452454880287746</v>
      </c>
      <c r="G25" s="15">
        <v>2.8626188430563522</v>
      </c>
      <c r="H25" s="3">
        <v>71.103999999999999</v>
      </c>
      <c r="I25" s="14">
        <v>13.348000916098172</v>
      </c>
      <c r="J25" s="14">
        <v>-4.0095040095040266</v>
      </c>
    </row>
    <row r="26" spans="1:10">
      <c r="A26" s="38" t="s">
        <v>226</v>
      </c>
      <c r="B26" s="33">
        <v>0.02</v>
      </c>
      <c r="C26" s="14">
        <v>3.7040466709880549E-3</v>
      </c>
      <c r="D26" s="15">
        <v>-13.043478260869563</v>
      </c>
      <c r="E26" s="33">
        <v>109.566</v>
      </c>
      <c r="F26" s="14">
        <v>20.291878877673863</v>
      </c>
      <c r="G26" s="15">
        <v>0.5663200212943712</v>
      </c>
      <c r="H26" s="39">
        <v>71.123000000000005</v>
      </c>
      <c r="I26" s="14">
        <v>13.172145569034171</v>
      </c>
      <c r="J26" s="14">
        <v>2.6721422142221896E-2</v>
      </c>
    </row>
    <row r="27" spans="1:10">
      <c r="A27" s="38" t="s">
        <v>229</v>
      </c>
      <c r="B27" s="33">
        <v>1.9E-2</v>
      </c>
      <c r="C27" s="14">
        <v>3.4147972149632822E-3</v>
      </c>
      <c r="D27" s="15">
        <v>-5.0000000000000044</v>
      </c>
      <c r="E27" s="39">
        <v>111.274</v>
      </c>
      <c r="F27" s="14">
        <v>19.998849752517067</v>
      </c>
      <c r="G27" s="15">
        <v>1.5588777540477872</v>
      </c>
      <c r="H27" s="33">
        <v>75.947999999999993</v>
      </c>
      <c r="I27" s="14">
        <v>13.649843099054282</v>
      </c>
      <c r="J27" s="14">
        <v>6.7840220463141154</v>
      </c>
    </row>
    <row r="28" spans="1:10">
      <c r="A28" s="38" t="s">
        <v>258</v>
      </c>
      <c r="B28" s="16">
        <v>1.9E-2</v>
      </c>
      <c r="C28" s="14">
        <v>3.3582848002262416E-3</v>
      </c>
      <c r="D28" s="136">
        <v>0</v>
      </c>
      <c r="E28" s="16">
        <v>113.09099999999999</v>
      </c>
      <c r="F28" s="14">
        <v>19.989041386441361</v>
      </c>
      <c r="G28" s="136">
        <v>1.632906159570064</v>
      </c>
      <c r="H28" s="16">
        <v>75.59</v>
      </c>
      <c r="I28" s="14">
        <v>13.360670949952716</v>
      </c>
      <c r="J28" s="131">
        <v>-0.47137515141937891</v>
      </c>
    </row>
    <row r="29" spans="1:10">
      <c r="A29" s="40" t="s">
        <v>281</v>
      </c>
      <c r="B29" s="34">
        <v>1.2999999999999999E-2</v>
      </c>
      <c r="C29" s="137">
        <v>2.134019721625335E-3</v>
      </c>
      <c r="D29" s="138">
        <v>-31.578947368421051</v>
      </c>
      <c r="E29" s="32">
        <v>124.143</v>
      </c>
      <c r="F29" s="137">
        <v>20.378739253979532</v>
      </c>
      <c r="G29" s="138">
        <v>9.7726609544526166</v>
      </c>
      <c r="H29" s="34">
        <v>87.608999999999995</v>
      </c>
      <c r="I29" s="137">
        <v>14.381487214759535</v>
      </c>
      <c r="J29" s="137">
        <v>15.90025135599946</v>
      </c>
    </row>
    <row r="30" spans="1:10">
      <c r="A30" s="18"/>
      <c r="B30" s="17"/>
      <c r="C30" s="36"/>
      <c r="D30" s="36"/>
      <c r="E30" s="17"/>
      <c r="F30" s="36"/>
      <c r="G30" s="36"/>
      <c r="H30" s="20"/>
      <c r="I30" s="35"/>
      <c r="J30" s="35"/>
    </row>
    <row r="31" spans="1:10">
      <c r="A31" s="1647" t="s">
        <v>0</v>
      </c>
      <c r="B31" s="1649" t="s">
        <v>28</v>
      </c>
      <c r="C31" s="1646"/>
      <c r="D31" s="1650"/>
      <c r="E31" s="1651" t="s">
        <v>29</v>
      </c>
      <c r="F31" s="1651"/>
      <c r="G31" s="1649"/>
      <c r="H31" s="3"/>
      <c r="I31" s="3"/>
      <c r="J31" s="3"/>
    </row>
    <row r="32" spans="1:10">
      <c r="A32" s="1648"/>
      <c r="B32" s="142" t="s">
        <v>24</v>
      </c>
      <c r="C32" s="130" t="s">
        <v>132</v>
      </c>
      <c r="D32" s="130" t="s">
        <v>25</v>
      </c>
      <c r="E32" s="132" t="s">
        <v>24</v>
      </c>
      <c r="F32" s="130" t="s">
        <v>132</v>
      </c>
      <c r="G32" s="129" t="s">
        <v>25</v>
      </c>
      <c r="H32" s="13"/>
      <c r="I32" s="127"/>
      <c r="J32" s="127"/>
    </row>
    <row r="33" spans="1:14">
      <c r="A33" s="22" t="s">
        <v>182</v>
      </c>
      <c r="B33" s="21" t="s">
        <v>183</v>
      </c>
      <c r="C33" s="21" t="s">
        <v>184</v>
      </c>
      <c r="D33" s="21" t="s">
        <v>185</v>
      </c>
      <c r="E33" s="21" t="s">
        <v>186</v>
      </c>
      <c r="F33" s="21" t="s">
        <v>187</v>
      </c>
      <c r="G33" s="4" t="s">
        <v>188</v>
      </c>
      <c r="H33" s="12"/>
      <c r="I33" s="12"/>
      <c r="J33" s="11"/>
    </row>
    <row r="34" spans="1:14">
      <c r="A34" s="38" t="s">
        <v>126</v>
      </c>
      <c r="B34" s="16">
        <v>36.119</v>
      </c>
      <c r="C34" s="14">
        <v>8.8735968789231503</v>
      </c>
      <c r="D34" s="15">
        <v>4.6048249297691681</v>
      </c>
      <c r="E34" s="16">
        <v>5.5659999999999998</v>
      </c>
      <c r="F34" s="14">
        <v>1.3674365355653881</v>
      </c>
      <c r="G34" s="14">
        <v>3.9705353934602963</v>
      </c>
      <c r="H34" s="3"/>
      <c r="I34" s="3"/>
      <c r="J34" s="3"/>
    </row>
    <row r="35" spans="1:14">
      <c r="A35" s="38" t="s">
        <v>128</v>
      </c>
      <c r="B35" s="16">
        <v>36.215000000000003</v>
      </c>
      <c r="C35" s="14">
        <v>8.4058287221004946</v>
      </c>
      <c r="D35" s="15">
        <v>0.26578808937125514</v>
      </c>
      <c r="E35" s="16">
        <v>5.7869999999999999</v>
      </c>
      <c r="F35" s="14">
        <v>1.3432149886730791</v>
      </c>
      <c r="G35" s="14">
        <v>3.8189044409884239</v>
      </c>
      <c r="H35" s="3"/>
      <c r="I35" s="3"/>
      <c r="J35" s="3"/>
      <c r="N35" s="155" t="s">
        <v>287</v>
      </c>
    </row>
    <row r="36" spans="1:14">
      <c r="A36" s="38" t="s">
        <v>133</v>
      </c>
      <c r="B36" s="16">
        <v>36.402999999999999</v>
      </c>
      <c r="C36" s="14">
        <v>7.9642164863197404</v>
      </c>
      <c r="D36" s="15">
        <v>0.51912191081042458</v>
      </c>
      <c r="E36" s="16">
        <v>6.5410000000000004</v>
      </c>
      <c r="F36" s="14">
        <v>1.431034256435388</v>
      </c>
      <c r="G36" s="14">
        <v>11.527289405289718</v>
      </c>
      <c r="H36" s="3"/>
      <c r="I36" s="3"/>
      <c r="J36" s="3"/>
      <c r="N36" s="155" t="s">
        <v>287</v>
      </c>
    </row>
    <row r="37" spans="1:14">
      <c r="A37" s="38" t="s">
        <v>211</v>
      </c>
      <c r="B37" s="16">
        <v>38.704999999999998</v>
      </c>
      <c r="C37" s="14">
        <v>7.8547844069186219</v>
      </c>
      <c r="D37" s="15">
        <v>6.3236546438480339</v>
      </c>
      <c r="E37" s="16">
        <v>5.4889999999999999</v>
      </c>
      <c r="F37" s="14">
        <v>1.1139364839058601</v>
      </c>
      <c r="G37" s="14">
        <v>-19.165603935143022</v>
      </c>
      <c r="H37" s="3"/>
      <c r="I37" s="3"/>
      <c r="J37" s="3"/>
      <c r="N37" s="155" t="s">
        <v>287</v>
      </c>
    </row>
    <row r="38" spans="1:14">
      <c r="A38" s="38" t="s">
        <v>219</v>
      </c>
      <c r="B38" s="16">
        <v>41.005000000000003</v>
      </c>
      <c r="C38" s="14">
        <v>7.7070983117874148</v>
      </c>
      <c r="D38" s="15">
        <v>5.9423847048185099</v>
      </c>
      <c r="E38" s="16">
        <v>5.7670000000000003</v>
      </c>
      <c r="F38" s="14">
        <v>1.0839369824186813</v>
      </c>
      <c r="G38" s="14">
        <v>4.8205306051673391</v>
      </c>
      <c r="H38" s="3"/>
      <c r="I38" s="3"/>
      <c r="J38" s="3"/>
    </row>
    <row r="39" spans="1:14">
      <c r="A39" s="38" t="s">
        <v>222</v>
      </c>
      <c r="B39" s="3">
        <v>39.335999999999999</v>
      </c>
      <c r="C39" s="14">
        <v>7.3843519919503509</v>
      </c>
      <c r="D39" s="15">
        <v>-4.0702353371540152</v>
      </c>
      <c r="E39" s="3">
        <v>6.9740000000000002</v>
      </c>
      <c r="F39" s="14">
        <v>1.3091943967831439</v>
      </c>
      <c r="G39" s="14">
        <v>17.307140808718092</v>
      </c>
      <c r="H39" s="3"/>
      <c r="I39" s="3"/>
      <c r="J39" s="3"/>
    </row>
    <row r="40" spans="1:14">
      <c r="A40" s="38" t="s">
        <v>226</v>
      </c>
      <c r="B40" s="39">
        <v>39.158999999999999</v>
      </c>
      <c r="C40" s="14">
        <v>7.252338179461062</v>
      </c>
      <c r="D40" s="15">
        <v>-0.44996949359365368</v>
      </c>
      <c r="E40" s="39">
        <v>7.2060000000000004</v>
      </c>
      <c r="F40" s="14">
        <v>1.3345680155569963</v>
      </c>
      <c r="G40" s="14">
        <v>3.2195392728282015</v>
      </c>
      <c r="H40" s="3"/>
      <c r="I40" s="3"/>
      <c r="J40" s="3"/>
    </row>
    <row r="41" spans="1:14">
      <c r="A41" s="38" t="s">
        <v>229</v>
      </c>
      <c r="B41" s="33">
        <v>39.134</v>
      </c>
      <c r="C41" s="14">
        <v>7.0334039058091102</v>
      </c>
      <c r="D41" s="15">
        <v>-6.3842284021549525E-2</v>
      </c>
      <c r="E41" s="33">
        <v>5.64</v>
      </c>
      <c r="F41" s="14">
        <v>1.0136555943364691</v>
      </c>
      <c r="G41" s="14">
        <v>-27.765957446808525</v>
      </c>
      <c r="H41" s="16"/>
      <c r="I41" s="14"/>
      <c r="J41" s="14"/>
    </row>
    <row r="42" spans="1:14">
      <c r="A42" s="38" t="s">
        <v>258</v>
      </c>
      <c r="B42" s="16">
        <v>37.222999999999999</v>
      </c>
      <c r="C42" s="14">
        <v>6.5792334273063888</v>
      </c>
      <c r="D42" s="136">
        <v>-4.8832217509071434</v>
      </c>
      <c r="E42" s="16">
        <v>5.7320000000000002</v>
      </c>
      <c r="F42" s="14">
        <v>1.0131414986787799</v>
      </c>
      <c r="G42" s="131">
        <v>1.6050244242847265</v>
      </c>
      <c r="H42" s="16"/>
      <c r="I42" s="14"/>
      <c r="J42" s="131"/>
    </row>
    <row r="43" spans="1:14">
      <c r="A43" s="40" t="s">
        <v>281</v>
      </c>
      <c r="B43" s="34">
        <v>38.256999999999998</v>
      </c>
      <c r="C43" s="137">
        <v>6.2800917300169559</v>
      </c>
      <c r="D43" s="138">
        <v>2.7778524030841116</v>
      </c>
      <c r="E43" s="34">
        <v>2.524</v>
      </c>
      <c r="F43" s="137">
        <v>0.41432813672171886</v>
      </c>
      <c r="G43" s="137">
        <v>-127.09984152139461</v>
      </c>
      <c r="H43" s="34"/>
      <c r="I43" s="137"/>
      <c r="J43" s="137"/>
    </row>
    <row r="44" spans="1:14">
      <c r="A44" s="3" t="s">
        <v>89</v>
      </c>
      <c r="B44" s="16"/>
      <c r="C44" s="3"/>
      <c r="D44" s="3"/>
      <c r="E44" s="16"/>
      <c r="F44" s="3"/>
      <c r="G44" s="3"/>
      <c r="H44" s="16"/>
      <c r="I44" s="3"/>
      <c r="J44" s="3"/>
    </row>
    <row r="45" spans="1:14">
      <c r="A45" s="3" t="s">
        <v>135</v>
      </c>
      <c r="B45" s="16"/>
      <c r="C45" s="3"/>
      <c r="D45" s="3"/>
      <c r="E45" s="16"/>
      <c r="F45" s="3"/>
      <c r="G45" s="3"/>
      <c r="H45" s="16"/>
      <c r="I45" s="3"/>
      <c r="J45" s="3"/>
    </row>
    <row r="46" spans="1:14">
      <c r="A46" s="3"/>
      <c r="B46" s="16"/>
      <c r="C46" s="3"/>
      <c r="D46" s="3"/>
      <c r="E46" s="16"/>
      <c r="F46" s="3"/>
      <c r="G46" s="3"/>
      <c r="H46" s="16"/>
      <c r="I46" s="3"/>
      <c r="J46" s="3"/>
    </row>
    <row r="47" spans="1:14">
      <c r="A47" s="3"/>
      <c r="B47" s="16"/>
      <c r="C47" s="3"/>
      <c r="D47" s="3"/>
      <c r="E47" s="16"/>
      <c r="F47" s="3"/>
      <c r="G47" s="3"/>
      <c r="H47" s="16"/>
      <c r="I47" s="3"/>
      <c r="J47" s="3"/>
    </row>
    <row r="48" spans="1:14">
      <c r="A48" s="3"/>
      <c r="B48" s="16"/>
      <c r="C48" s="3"/>
      <c r="D48" s="3"/>
      <c r="E48" s="16"/>
      <c r="F48" s="3"/>
      <c r="G48" s="3"/>
      <c r="H48" s="16"/>
      <c r="I48" s="3"/>
      <c r="J48" s="3"/>
    </row>
    <row r="49" spans="1:10">
      <c r="A49" s="3"/>
      <c r="B49" s="16"/>
      <c r="C49" s="3"/>
      <c r="D49" s="3"/>
      <c r="E49" s="16"/>
      <c r="F49" s="3"/>
      <c r="G49" s="3"/>
      <c r="H49" s="16"/>
      <c r="I49" s="3"/>
      <c r="J49" s="3"/>
    </row>
    <row r="50" spans="1:10">
      <c r="A50" s="3"/>
      <c r="B50" s="16"/>
      <c r="C50" s="3"/>
      <c r="D50" s="3"/>
      <c r="E50" s="16"/>
      <c r="F50" s="3"/>
      <c r="G50" s="3"/>
      <c r="H50" s="16"/>
      <c r="I50" s="3"/>
      <c r="J50" s="3"/>
    </row>
    <row r="51" spans="1:10">
      <c r="A51" s="3"/>
      <c r="B51" s="16"/>
      <c r="C51" s="3"/>
      <c r="D51" s="3"/>
      <c r="E51" s="16"/>
      <c r="F51" s="3"/>
      <c r="G51" s="3"/>
      <c r="H51" s="16"/>
      <c r="I51" s="3"/>
      <c r="J51" s="3"/>
    </row>
    <row r="52" spans="1:10">
      <c r="A52" s="3"/>
      <c r="B52" s="16"/>
      <c r="C52" s="3"/>
      <c r="D52" s="3"/>
      <c r="E52" s="16"/>
      <c r="F52" s="3"/>
      <c r="G52" s="3"/>
      <c r="H52" s="16"/>
      <c r="I52" s="3"/>
      <c r="J52" s="3"/>
    </row>
    <row r="53" spans="1:10">
      <c r="A53" s="3"/>
      <c r="B53" s="16"/>
      <c r="C53" s="3"/>
      <c r="D53" s="3"/>
      <c r="E53" s="16"/>
      <c r="F53" s="3"/>
      <c r="G53" s="3"/>
      <c r="H53" s="16"/>
      <c r="I53" s="3"/>
      <c r="J53" s="3"/>
    </row>
    <row r="54" spans="1:10">
      <c r="A54" s="3"/>
      <c r="B54" s="16"/>
      <c r="C54" s="3"/>
      <c r="D54" s="3"/>
      <c r="E54" s="16"/>
      <c r="F54" s="3"/>
      <c r="G54" s="3"/>
      <c r="H54" s="16"/>
      <c r="I54" s="3"/>
      <c r="J54" s="3"/>
    </row>
    <row r="55" spans="1:10" ht="15">
      <c r="A55" s="30" t="s">
        <v>193</v>
      </c>
      <c r="B55" s="24"/>
      <c r="C55" s="30"/>
      <c r="D55" s="30"/>
      <c r="E55" s="96"/>
      <c r="F55" s="30"/>
      <c r="G55" s="30"/>
      <c r="H55" s="96"/>
      <c r="I55" s="30"/>
      <c r="J55" s="30"/>
    </row>
    <row r="56" spans="1:10">
      <c r="A56" s="3"/>
      <c r="B56" s="16" t="s">
        <v>255</v>
      </c>
      <c r="C56" s="3"/>
      <c r="D56" s="3"/>
      <c r="E56" s="16"/>
      <c r="F56" s="3"/>
      <c r="G56" s="3"/>
      <c r="H56" s="16"/>
      <c r="I56" s="3"/>
      <c r="J56" s="3"/>
    </row>
    <row r="57" spans="1:10">
      <c r="A57" s="3"/>
      <c r="B57" s="16"/>
      <c r="C57" s="3"/>
      <c r="D57" s="3"/>
      <c r="E57" s="16"/>
      <c r="F57" s="3"/>
      <c r="G57" s="3"/>
      <c r="H57" s="16"/>
      <c r="I57" s="3"/>
      <c r="J57" s="3"/>
    </row>
    <row r="58" spans="1:10">
      <c r="A58" s="1647" t="s">
        <v>0</v>
      </c>
      <c r="B58" s="1651" t="s">
        <v>267</v>
      </c>
      <c r="C58" s="1651"/>
      <c r="D58" s="1651"/>
      <c r="E58" s="1651" t="s">
        <v>31</v>
      </c>
      <c r="F58" s="1651"/>
      <c r="G58" s="1651"/>
      <c r="H58" s="1651" t="s">
        <v>285</v>
      </c>
      <c r="I58" s="1651"/>
      <c r="J58" s="1651"/>
    </row>
    <row r="59" spans="1:10">
      <c r="A59" s="1648"/>
      <c r="B59" s="132" t="s">
        <v>24</v>
      </c>
      <c r="C59" s="130" t="s">
        <v>132</v>
      </c>
      <c r="D59" s="130" t="s">
        <v>25</v>
      </c>
      <c r="E59" s="132" t="s">
        <v>24</v>
      </c>
      <c r="F59" s="130" t="s">
        <v>132</v>
      </c>
      <c r="G59" s="130" t="s">
        <v>25</v>
      </c>
      <c r="H59" s="132" t="s">
        <v>24</v>
      </c>
      <c r="I59" s="130" t="s">
        <v>132</v>
      </c>
      <c r="J59" s="130" t="s">
        <v>25</v>
      </c>
    </row>
    <row r="60" spans="1:10">
      <c r="A60" s="157" t="s">
        <v>189</v>
      </c>
      <c r="B60" s="157" t="s">
        <v>190</v>
      </c>
      <c r="C60" s="157" t="s">
        <v>288</v>
      </c>
      <c r="D60" s="157" t="s">
        <v>194</v>
      </c>
      <c r="E60" s="157" t="s">
        <v>195</v>
      </c>
      <c r="F60" s="157" t="s">
        <v>196</v>
      </c>
      <c r="G60" s="157" t="s">
        <v>197</v>
      </c>
      <c r="H60" s="157" t="s">
        <v>198</v>
      </c>
      <c r="I60" s="157" t="s">
        <v>199</v>
      </c>
      <c r="J60" s="157" t="s">
        <v>200</v>
      </c>
    </row>
    <row r="61" spans="1:10">
      <c r="A61" s="38" t="s">
        <v>126</v>
      </c>
      <c r="B61" s="16">
        <v>70.540000000000006</v>
      </c>
      <c r="C61" s="14">
        <v>17.330034714118305</v>
      </c>
      <c r="D61" s="15">
        <v>5.9095549816827928</v>
      </c>
      <c r="E61" s="16">
        <v>15.721</v>
      </c>
      <c r="F61" s="14">
        <v>3.8622834666948376</v>
      </c>
      <c r="G61" s="15">
        <v>-6.4448940728397908</v>
      </c>
      <c r="H61" s="16">
        <v>36.137999999999998</v>
      </c>
      <c r="I61" s="14">
        <v>8.8782647363029099</v>
      </c>
      <c r="J61" s="15">
        <v>2.3652380817494292</v>
      </c>
    </row>
    <row r="62" spans="1:10">
      <c r="A62" s="38" t="s">
        <v>128</v>
      </c>
      <c r="B62" s="16">
        <v>81.160000000000011</v>
      </c>
      <c r="C62" s="14">
        <v>18.837969324469864</v>
      </c>
      <c r="D62" s="15">
        <v>15.055287779982994</v>
      </c>
      <c r="E62" s="16">
        <v>12.228</v>
      </c>
      <c r="F62" s="14">
        <v>2.8382292865896681</v>
      </c>
      <c r="G62" s="15">
        <v>-22.218688378601872</v>
      </c>
      <c r="H62" s="16">
        <v>37.707000000000001</v>
      </c>
      <c r="I62" s="14">
        <v>8.7521354031269727</v>
      </c>
      <c r="J62" s="15">
        <v>4.3416901876141534</v>
      </c>
    </row>
    <row r="63" spans="1:10">
      <c r="A63" s="38" t="s">
        <v>133</v>
      </c>
      <c r="B63" s="16">
        <v>89.481999999999999</v>
      </c>
      <c r="C63" s="14">
        <v>19.576793660656076</v>
      </c>
      <c r="D63" s="15">
        <v>10.253819615574159</v>
      </c>
      <c r="E63" s="16">
        <v>11.426</v>
      </c>
      <c r="F63" s="14">
        <v>2.4997702819187801</v>
      </c>
      <c r="G63" s="15">
        <v>-6.558717697088646</v>
      </c>
      <c r="H63" s="16">
        <v>40.603999999999999</v>
      </c>
      <c r="I63" s="14">
        <v>8.8833075903229624</v>
      </c>
      <c r="J63" s="15">
        <v>7.6829235950884405</v>
      </c>
    </row>
    <row r="64" spans="1:10">
      <c r="A64" s="38" t="s">
        <v>211</v>
      </c>
      <c r="B64" s="16">
        <v>98.402000000000001</v>
      </c>
      <c r="C64" s="14">
        <v>19.969680796011016</v>
      </c>
      <c r="D64" s="15">
        <v>9.9684852819561502</v>
      </c>
      <c r="E64" s="16">
        <v>12.029</v>
      </c>
      <c r="F64" s="14">
        <v>2.4411626826204396</v>
      </c>
      <c r="G64" s="15">
        <v>5.2774374234202677</v>
      </c>
      <c r="H64" s="16">
        <v>44.545999999999999</v>
      </c>
      <c r="I64" s="14">
        <v>9.040155695403616</v>
      </c>
      <c r="J64" s="15">
        <v>9.7084031129937944</v>
      </c>
    </row>
    <row r="65" spans="1:10">
      <c r="A65" s="38" t="s">
        <v>219</v>
      </c>
      <c r="B65" s="16">
        <v>106.40899999999999</v>
      </c>
      <c r="C65" s="14">
        <v>20.00011277305175</v>
      </c>
      <c r="D65" s="15">
        <v>8.1370297351679763</v>
      </c>
      <c r="E65" s="16">
        <v>13.968</v>
      </c>
      <c r="F65" s="14">
        <v>2.625356644776164</v>
      </c>
      <c r="G65" s="15">
        <v>16.119378169423893</v>
      </c>
      <c r="H65" s="16">
        <v>50.429000000000002</v>
      </c>
      <c r="I65" s="14">
        <v>9.4783870446318161</v>
      </c>
      <c r="J65" s="15">
        <v>13.206572980739018</v>
      </c>
    </row>
    <row r="66" spans="1:10">
      <c r="A66" s="38" t="s">
        <v>222</v>
      </c>
      <c r="B66" s="3">
        <v>102.565</v>
      </c>
      <c r="C66" s="14">
        <v>19.254018254382441</v>
      </c>
      <c r="D66" s="15">
        <v>-3.6124763882754225</v>
      </c>
      <c r="E66" s="3">
        <v>15.526</v>
      </c>
      <c r="F66" s="14">
        <v>2.9146188994056628</v>
      </c>
      <c r="G66" s="15">
        <v>11.154066437571592</v>
      </c>
      <c r="H66" s="3">
        <v>51.332999999999998</v>
      </c>
      <c r="I66" s="14">
        <v>9.6364892414782233</v>
      </c>
      <c r="J66" s="15">
        <v>1.7926193261813566</v>
      </c>
    </row>
    <row r="67" spans="1:10">
      <c r="A67" s="38" t="s">
        <v>226</v>
      </c>
      <c r="B67" s="39">
        <v>105.476</v>
      </c>
      <c r="C67" s="14">
        <v>19.534401333456806</v>
      </c>
      <c r="D67" s="15">
        <v>2.8382001657485509</v>
      </c>
      <c r="E67" s="39">
        <v>16.178000000000001</v>
      </c>
      <c r="F67" s="14">
        <v>2.996203352162238</v>
      </c>
      <c r="G67" s="15">
        <v>4.1994074455751713</v>
      </c>
      <c r="H67" s="39">
        <v>52.210999999999999</v>
      </c>
      <c r="I67" s="14">
        <v>9.669599036947865</v>
      </c>
      <c r="J67" s="15">
        <v>1.7104007168877722</v>
      </c>
    </row>
    <row r="68" spans="1:10">
      <c r="A68" s="38" t="s">
        <v>229</v>
      </c>
      <c r="B68" s="33">
        <v>110.13200000000001</v>
      </c>
      <c r="C68" s="14">
        <v>19.793602467280856</v>
      </c>
      <c r="D68" s="15">
        <v>4.4142743372900055</v>
      </c>
      <c r="E68" s="33">
        <v>16.09</v>
      </c>
      <c r="F68" s="14">
        <v>2.8917940625662744</v>
      </c>
      <c r="G68" s="15">
        <v>-0.54394857213500414</v>
      </c>
      <c r="H68" s="33">
        <v>53.19</v>
      </c>
      <c r="I68" s="14">
        <v>9.559634940205104</v>
      </c>
      <c r="J68" s="15">
        <v>1.8750837946026684</v>
      </c>
    </row>
    <row r="69" spans="1:10">
      <c r="A69" s="38" t="s">
        <v>258</v>
      </c>
      <c r="B69" s="16">
        <v>112.917</v>
      </c>
      <c r="C69" s="14">
        <v>19.958286567744555</v>
      </c>
      <c r="D69" s="136">
        <v>2.5287836414484404</v>
      </c>
      <c r="E69" s="16">
        <v>14.721</v>
      </c>
      <c r="F69" s="14">
        <v>2.6019637128489737</v>
      </c>
      <c r="G69" s="136">
        <v>-8.5083903045369773</v>
      </c>
      <c r="H69" s="16">
        <v>50.469000000000001</v>
      </c>
      <c r="I69" s="14">
        <v>8.9204881885588527</v>
      </c>
      <c r="J69" s="136">
        <v>-5.1156232374506425</v>
      </c>
    </row>
    <row r="70" spans="1:10">
      <c r="A70" s="40" t="s">
        <v>281</v>
      </c>
      <c r="B70" s="34">
        <v>123.627</v>
      </c>
      <c r="C70" s="137">
        <v>20.294035086567327</v>
      </c>
      <c r="D70" s="138">
        <v>9.4848428491723951</v>
      </c>
      <c r="E70" s="34">
        <v>14.957000000000001</v>
      </c>
      <c r="F70" s="137">
        <v>2.4552717674115487</v>
      </c>
      <c r="G70" s="138">
        <v>1.6031519597853452</v>
      </c>
      <c r="H70" s="34">
        <v>52.536000000000001</v>
      </c>
      <c r="I70" s="137">
        <v>8.6240661611775842</v>
      </c>
      <c r="J70" s="138">
        <v>4.0955834274505145</v>
      </c>
    </row>
    <row r="71" spans="1:10">
      <c r="A71" s="3"/>
      <c r="B71" s="3"/>
      <c r="C71" s="14"/>
      <c r="D71" s="14"/>
      <c r="E71" s="3"/>
      <c r="F71" s="14"/>
      <c r="G71" s="14"/>
      <c r="H71" s="3"/>
      <c r="I71" s="14"/>
      <c r="J71" s="14"/>
    </row>
    <row r="72" spans="1:10">
      <c r="A72" s="1647" t="s">
        <v>0</v>
      </c>
      <c r="B72" s="1649" t="s">
        <v>32</v>
      </c>
      <c r="C72" s="1646"/>
      <c r="D72" s="1646"/>
      <c r="E72" s="144"/>
      <c r="F72" s="144"/>
      <c r="G72" s="144"/>
      <c r="H72" s="1652" t="s">
        <v>0</v>
      </c>
      <c r="I72" s="1649" t="s">
        <v>217</v>
      </c>
      <c r="J72" s="1646"/>
    </row>
    <row r="73" spans="1:10">
      <c r="A73" s="1648"/>
      <c r="B73" s="132" t="s">
        <v>24</v>
      </c>
      <c r="C73" s="130" t="s">
        <v>132</v>
      </c>
      <c r="D73" s="129" t="s">
        <v>25</v>
      </c>
      <c r="E73" s="3"/>
      <c r="F73" s="3"/>
      <c r="G73" s="3"/>
      <c r="H73" s="1653"/>
      <c r="I73" s="21" t="s">
        <v>24</v>
      </c>
      <c r="J73" s="42" t="s">
        <v>25</v>
      </c>
    </row>
    <row r="74" spans="1:10">
      <c r="A74" s="156" t="s">
        <v>201</v>
      </c>
      <c r="B74" s="156" t="s">
        <v>202</v>
      </c>
      <c r="C74" s="156" t="s">
        <v>203</v>
      </c>
      <c r="D74" s="156" t="s">
        <v>204</v>
      </c>
      <c r="E74" s="3"/>
      <c r="F74" s="3"/>
      <c r="G74" s="3"/>
      <c r="H74" s="8" t="s">
        <v>205</v>
      </c>
      <c r="I74" s="10" t="s">
        <v>206</v>
      </c>
      <c r="J74" s="9" t="s">
        <v>210</v>
      </c>
    </row>
    <row r="75" spans="1:10">
      <c r="A75" s="38" t="s">
        <v>126</v>
      </c>
      <c r="B75" s="16">
        <v>24.475000000000001</v>
      </c>
      <c r="C75" s="14">
        <v>6.0129373352430608</v>
      </c>
      <c r="D75" s="14">
        <v>3.80879670865674</v>
      </c>
      <c r="E75" s="3"/>
      <c r="F75" s="3"/>
      <c r="G75" s="3"/>
      <c r="H75" s="39" t="s">
        <v>126</v>
      </c>
      <c r="I75" s="19">
        <v>407.03899999999999</v>
      </c>
      <c r="J75" s="14">
        <v>6.3834402728591497</v>
      </c>
    </row>
    <row r="76" spans="1:10">
      <c r="A76" s="38" t="s">
        <v>128</v>
      </c>
      <c r="B76" s="16">
        <v>24.937999999999999</v>
      </c>
      <c r="C76" s="14">
        <v>5.7883351283098738</v>
      </c>
      <c r="D76" s="14">
        <v>1.8917262512768025</v>
      </c>
      <c r="E76" s="3"/>
      <c r="F76" s="3"/>
      <c r="G76" s="3"/>
      <c r="H76" s="39" t="s">
        <v>128</v>
      </c>
      <c r="I76" s="19">
        <v>430.83200000000005</v>
      </c>
      <c r="J76" s="14">
        <v>5.8453858229801234</v>
      </c>
    </row>
    <row r="77" spans="1:10">
      <c r="A77" s="38" t="s">
        <v>133</v>
      </c>
      <c r="B77" s="16">
        <v>22.521000000000001</v>
      </c>
      <c r="C77" s="14">
        <v>4.9271246734721554</v>
      </c>
      <c r="D77" s="14">
        <v>-9.6920362498997452</v>
      </c>
      <c r="E77" s="3"/>
      <c r="F77" s="3"/>
      <c r="G77" s="3"/>
      <c r="H77" s="39" t="s">
        <v>133</v>
      </c>
      <c r="I77" s="19">
        <v>457.08199999999999</v>
      </c>
      <c r="J77" s="14">
        <v>6.0928621829390437</v>
      </c>
    </row>
    <row r="78" spans="1:10">
      <c r="A78" s="38" t="s">
        <v>211</v>
      </c>
      <c r="B78" s="16">
        <v>22.905000000000001</v>
      </c>
      <c r="C78" s="14">
        <v>4.6483357922870701</v>
      </c>
      <c r="D78" s="14">
        <v>1.7050752630877861</v>
      </c>
      <c r="E78" s="3"/>
      <c r="F78" s="3"/>
      <c r="G78" s="3"/>
      <c r="H78" s="39" t="s">
        <v>211</v>
      </c>
      <c r="I78" s="19">
        <v>492.75700000000006</v>
      </c>
      <c r="J78" s="14">
        <v>7.8049452833408601</v>
      </c>
    </row>
    <row r="79" spans="1:10">
      <c r="A79" s="38" t="s">
        <v>219</v>
      </c>
      <c r="B79" s="16">
        <v>23.132999999999999</v>
      </c>
      <c r="C79" s="14">
        <v>4.3479650102811425</v>
      </c>
      <c r="D79" s="14">
        <v>0.99541584806809857</v>
      </c>
      <c r="E79" s="3"/>
      <c r="F79" s="3"/>
      <c r="G79" s="3"/>
      <c r="H79" s="39" t="s">
        <v>219</v>
      </c>
      <c r="I79" s="19">
        <v>532.04200000000003</v>
      </c>
      <c r="J79" s="14">
        <v>7.9724894826455968</v>
      </c>
    </row>
    <row r="80" spans="1:10">
      <c r="A80" s="38" t="s">
        <v>222</v>
      </c>
      <c r="B80" s="3">
        <v>21.658999999999999</v>
      </c>
      <c r="C80" s="14">
        <v>4.0659365414290383</v>
      </c>
      <c r="D80" s="14">
        <v>-6.3718497384688559</v>
      </c>
      <c r="E80" s="3"/>
      <c r="F80" s="3"/>
      <c r="G80" s="38"/>
      <c r="H80" s="3" t="s">
        <v>222</v>
      </c>
      <c r="I80" s="19">
        <v>532.69399999999996</v>
      </c>
      <c r="J80" s="14">
        <v>0.12254671623667492</v>
      </c>
    </row>
    <row r="81" spans="1:10">
      <c r="A81" s="38" t="s">
        <v>226</v>
      </c>
      <c r="B81" s="33">
        <v>24.23</v>
      </c>
      <c r="C81" s="14">
        <v>4.4874525419020284</v>
      </c>
      <c r="D81" s="14">
        <v>11.870354125305884</v>
      </c>
      <c r="E81" s="3"/>
      <c r="F81" s="3"/>
      <c r="G81" s="38"/>
      <c r="H81" s="39" t="s">
        <v>226</v>
      </c>
      <c r="I81" s="19">
        <v>539.94999999999993</v>
      </c>
      <c r="J81" s="14">
        <v>1.3621328567620383</v>
      </c>
    </row>
    <row r="82" spans="1:10">
      <c r="A82" s="38" t="s">
        <v>229</v>
      </c>
      <c r="B82" s="33">
        <v>26.466999999999999</v>
      </c>
      <c r="C82" s="14">
        <v>4.7568125204438516</v>
      </c>
      <c r="D82" s="14">
        <v>9.2323565827486505</v>
      </c>
      <c r="E82" s="3"/>
      <c r="F82" s="3"/>
      <c r="G82" s="38"/>
      <c r="H82" s="3" t="s">
        <v>229</v>
      </c>
      <c r="I82" s="19">
        <v>556.40199999999993</v>
      </c>
      <c r="J82" s="14">
        <v>3.0469487915547737</v>
      </c>
    </row>
    <row r="83" spans="1:10">
      <c r="A83" s="38" t="s">
        <v>258</v>
      </c>
      <c r="B83" s="16">
        <v>28.244</v>
      </c>
      <c r="C83" s="14">
        <v>4.9921787314521042</v>
      </c>
      <c r="D83" s="131">
        <v>6.7140212339895005</v>
      </c>
      <c r="E83" s="16"/>
      <c r="F83" s="14"/>
      <c r="G83" s="136"/>
      <c r="H83" s="3" t="s">
        <v>258</v>
      </c>
      <c r="I83" s="20">
        <v>565.7650000000001</v>
      </c>
      <c r="J83" s="131">
        <v>1.6827761223000943</v>
      </c>
    </row>
    <row r="84" spans="1:10">
      <c r="A84" s="40" t="s">
        <v>281</v>
      </c>
      <c r="B84" s="34">
        <v>29.97</v>
      </c>
      <c r="C84" s="137">
        <v>4.9197362351624063</v>
      </c>
      <c r="D84" s="137">
        <v>6.1110324316668994</v>
      </c>
      <c r="E84" s="37"/>
      <c r="F84" s="137"/>
      <c r="G84" s="145"/>
      <c r="H84" s="32" t="s">
        <v>281</v>
      </c>
      <c r="I84" s="17">
        <v>609.17900000000009</v>
      </c>
      <c r="J84" s="146">
        <v>7.673504016685369</v>
      </c>
    </row>
    <row r="85" spans="1:10">
      <c r="A85" s="1"/>
      <c r="B85" s="6"/>
      <c r="C85" s="1"/>
      <c r="D85" s="1"/>
      <c r="E85" s="6"/>
      <c r="F85" s="1"/>
      <c r="G85" s="1"/>
      <c r="H85" s="6"/>
      <c r="I85" s="1"/>
      <c r="J85" s="1"/>
    </row>
    <row r="86" spans="1:10">
      <c r="A86" s="1"/>
      <c r="B86" s="6"/>
      <c r="C86" s="1"/>
      <c r="D86" s="1"/>
      <c r="E86" s="6"/>
      <c r="F86" s="1"/>
      <c r="G86" s="1"/>
      <c r="H86" s="6"/>
      <c r="I86" s="6"/>
      <c r="J86" s="1"/>
    </row>
    <row r="87" spans="1:10">
      <c r="A87" s="1"/>
      <c r="B87" s="6"/>
      <c r="C87" s="1"/>
      <c r="D87" s="1"/>
      <c r="E87" s="6"/>
      <c r="F87" s="1"/>
      <c r="G87" s="1"/>
      <c r="H87" s="6"/>
      <c r="I87" s="6"/>
      <c r="J87" s="1"/>
    </row>
    <row r="88" spans="1:10">
      <c r="A88" s="1"/>
      <c r="B88" s="6"/>
      <c r="C88" s="1"/>
      <c r="D88" s="1"/>
      <c r="E88" s="6"/>
      <c r="F88" s="1"/>
      <c r="G88" s="1"/>
      <c r="H88" s="6"/>
      <c r="I88" s="6"/>
      <c r="J88" s="1"/>
    </row>
    <row r="89" spans="1:10">
      <c r="A89" s="1"/>
      <c r="B89" s="6"/>
      <c r="C89" s="1"/>
      <c r="D89" s="1"/>
      <c r="E89" s="6"/>
      <c r="F89" s="1"/>
      <c r="G89" s="1"/>
      <c r="H89" s="6"/>
      <c r="I89" s="6"/>
      <c r="J89" s="1"/>
    </row>
    <row r="90" spans="1:10">
      <c r="A90" s="1"/>
      <c r="B90" s="6"/>
      <c r="C90" s="1"/>
      <c r="D90" s="1"/>
      <c r="E90" s="6"/>
      <c r="F90" s="1"/>
      <c r="G90" s="1"/>
      <c r="H90" s="6"/>
      <c r="I90" s="6"/>
      <c r="J90" s="1"/>
    </row>
    <row r="91" spans="1:10">
      <c r="A91" s="1"/>
      <c r="B91" s="6"/>
      <c r="C91" s="1"/>
      <c r="D91" s="1"/>
      <c r="E91" s="6"/>
      <c r="F91" s="1"/>
      <c r="G91" s="1"/>
      <c r="H91" s="6"/>
      <c r="I91" s="6"/>
      <c r="J91" s="1"/>
    </row>
    <row r="92" spans="1:10">
      <c r="A92" s="1"/>
      <c r="B92" s="6"/>
      <c r="C92" s="1"/>
      <c r="D92" s="1"/>
      <c r="E92" s="6"/>
      <c r="F92" s="1"/>
      <c r="G92" s="1"/>
      <c r="H92" s="6"/>
      <c r="I92" s="6"/>
      <c r="J92" s="1"/>
    </row>
    <row r="93" spans="1:10">
      <c r="A93" s="1"/>
      <c r="B93" s="6"/>
      <c r="C93" s="1"/>
      <c r="D93" s="1"/>
      <c r="E93" s="6"/>
      <c r="F93" s="1"/>
      <c r="G93" s="1"/>
      <c r="H93" s="6"/>
      <c r="I93" s="6"/>
      <c r="J93" s="1"/>
    </row>
    <row r="94" spans="1:10">
      <c r="A94" s="1"/>
      <c r="B94" s="6"/>
      <c r="C94" s="1"/>
      <c r="D94" s="1"/>
      <c r="E94" s="6"/>
      <c r="F94" s="1"/>
      <c r="G94" s="1"/>
      <c r="H94" s="6"/>
      <c r="I94" s="6"/>
      <c r="J94" s="1"/>
    </row>
    <row r="95" spans="1:10">
      <c r="A95" s="1"/>
      <c r="B95" s="6"/>
      <c r="C95" s="1"/>
      <c r="D95" s="1"/>
      <c r="E95" s="6"/>
      <c r="F95" s="1"/>
      <c r="G95" s="1"/>
      <c r="H95" s="6"/>
      <c r="I95" s="6"/>
      <c r="J95" s="1"/>
    </row>
    <row r="96" spans="1:10">
      <c r="A96" s="1"/>
      <c r="B96" s="6"/>
      <c r="C96" s="1"/>
      <c r="D96" s="1"/>
      <c r="E96" s="6"/>
      <c r="F96" s="1"/>
      <c r="G96" s="1"/>
      <c r="H96" s="6"/>
      <c r="I96" s="6"/>
      <c r="J96" s="1"/>
    </row>
    <row r="97" spans="1:10">
      <c r="A97" s="1"/>
      <c r="B97" s="6"/>
      <c r="C97" s="1"/>
      <c r="D97" s="1"/>
      <c r="E97" s="6"/>
      <c r="F97" s="1"/>
      <c r="G97" s="1"/>
      <c r="H97" s="6"/>
      <c r="I97" s="6"/>
      <c r="J97" s="1"/>
    </row>
    <row r="98" spans="1:10">
      <c r="A98" s="1"/>
      <c r="B98" s="6"/>
      <c r="C98" s="1"/>
      <c r="D98" s="1"/>
      <c r="E98" s="6"/>
      <c r="F98" s="1"/>
      <c r="G98" s="1"/>
      <c r="H98" s="6"/>
      <c r="I98" s="6"/>
      <c r="J98" s="1"/>
    </row>
    <row r="99" spans="1:10">
      <c r="A99" s="1"/>
      <c r="B99" s="6"/>
      <c r="C99" s="1"/>
      <c r="D99" s="1"/>
      <c r="E99" s="6"/>
      <c r="F99" s="1"/>
      <c r="G99" s="1"/>
      <c r="H99" s="6"/>
      <c r="I99" s="6"/>
      <c r="J99" s="1"/>
    </row>
    <row r="100" spans="1:10">
      <c r="A100" s="1"/>
      <c r="B100" s="6"/>
      <c r="C100" s="1"/>
      <c r="D100" s="1"/>
      <c r="E100" s="6"/>
      <c r="F100" s="1"/>
      <c r="G100" s="1"/>
      <c r="H100" s="6"/>
      <c r="I100" s="6"/>
      <c r="J100" s="1"/>
    </row>
    <row r="101" spans="1:10">
      <c r="A101" s="1"/>
      <c r="B101" s="6"/>
      <c r="C101" s="1"/>
      <c r="D101" s="1"/>
      <c r="E101" s="6"/>
      <c r="F101" s="1"/>
      <c r="G101" s="1"/>
      <c r="H101" s="6"/>
      <c r="I101" s="6"/>
      <c r="J101" s="1"/>
    </row>
    <row r="102" spans="1:10">
      <c r="A102" s="1"/>
      <c r="B102" s="6"/>
      <c r="C102" s="1"/>
      <c r="D102" s="1"/>
      <c r="E102" s="6"/>
      <c r="F102" s="1"/>
      <c r="G102" s="1"/>
      <c r="H102" s="6"/>
      <c r="I102" s="6"/>
      <c r="J102" s="1"/>
    </row>
    <row r="103" spans="1:10">
      <c r="A103" s="1"/>
      <c r="B103" s="6"/>
      <c r="C103" s="1"/>
      <c r="D103" s="1"/>
      <c r="E103" s="6"/>
      <c r="F103" s="1"/>
      <c r="G103" s="1"/>
      <c r="H103" s="6"/>
      <c r="I103" s="6"/>
      <c r="J103" s="1"/>
    </row>
    <row r="104" spans="1:10">
      <c r="A104" s="1"/>
      <c r="B104" s="6"/>
      <c r="C104" s="1"/>
      <c r="D104" s="1"/>
      <c r="E104" s="6"/>
      <c r="F104" s="1"/>
      <c r="G104" s="1"/>
      <c r="H104" s="6"/>
      <c r="I104" s="6"/>
      <c r="J104" s="1"/>
    </row>
    <row r="105" spans="1:10">
      <c r="A105" s="1"/>
      <c r="B105" s="6"/>
      <c r="C105" s="1"/>
      <c r="D105" s="1"/>
      <c r="E105" s="6"/>
      <c r="F105" s="1"/>
      <c r="G105" s="1"/>
      <c r="H105" s="6"/>
      <c r="I105" s="6"/>
      <c r="J105" s="1"/>
    </row>
    <row r="106" spans="1:10">
      <c r="A106" s="1"/>
      <c r="B106" s="6"/>
      <c r="C106" s="1"/>
      <c r="D106" s="1"/>
      <c r="E106" s="6"/>
      <c r="F106" s="1"/>
      <c r="G106" s="1"/>
      <c r="H106" s="6"/>
      <c r="I106" s="6"/>
      <c r="J106" s="1"/>
    </row>
    <row r="107" spans="1:10">
      <c r="A107" s="1"/>
      <c r="B107" s="6"/>
      <c r="C107" s="1"/>
      <c r="D107" s="1"/>
      <c r="E107" s="6"/>
      <c r="F107" s="1"/>
      <c r="G107" s="1"/>
      <c r="H107" s="6"/>
      <c r="I107" s="6"/>
      <c r="J107" s="1"/>
    </row>
    <row r="108" spans="1:10">
      <c r="A108" s="1"/>
      <c r="B108" s="6"/>
      <c r="C108" s="1"/>
      <c r="D108" s="1"/>
      <c r="E108" s="6"/>
      <c r="F108" s="1"/>
      <c r="G108" s="1"/>
      <c r="H108" s="6"/>
      <c r="I108" s="1"/>
      <c r="J108" s="1"/>
    </row>
    <row r="109" spans="1:10" ht="15">
      <c r="A109" s="7" t="s">
        <v>106</v>
      </c>
      <c r="B109" s="45"/>
      <c r="C109" s="7"/>
      <c r="D109" s="7"/>
      <c r="E109" s="46"/>
      <c r="F109" s="7"/>
      <c r="G109" s="7"/>
      <c r="H109" s="46"/>
      <c r="I109" s="7"/>
      <c r="J109" s="7"/>
    </row>
    <row r="110" spans="1:10">
      <c r="A110" s="1" t="s">
        <v>30</v>
      </c>
      <c r="B110" s="16" t="s">
        <v>255</v>
      </c>
      <c r="C110" s="1"/>
      <c r="D110" s="1"/>
      <c r="E110" s="6"/>
      <c r="F110" s="1"/>
      <c r="G110" s="1"/>
      <c r="H110" s="6"/>
      <c r="I110" s="1"/>
      <c r="J110" s="1"/>
    </row>
    <row r="111" spans="1:10">
      <c r="A111" s="1658" t="s">
        <v>0</v>
      </c>
      <c r="B111" s="1651" t="s">
        <v>34</v>
      </c>
      <c r="C111" s="1651"/>
      <c r="D111" s="1651"/>
      <c r="E111" s="1651" t="s">
        <v>35</v>
      </c>
      <c r="F111" s="1651"/>
      <c r="G111" s="1651"/>
      <c r="H111" s="1646" t="s">
        <v>36</v>
      </c>
      <c r="I111" s="1646"/>
      <c r="J111" s="1646"/>
    </row>
    <row r="112" spans="1:10">
      <c r="A112" s="1659"/>
      <c r="B112" s="132" t="s">
        <v>24</v>
      </c>
      <c r="C112" s="130" t="s">
        <v>132</v>
      </c>
      <c r="D112" s="130" t="s">
        <v>25</v>
      </c>
      <c r="E112" s="132" t="s">
        <v>24</v>
      </c>
      <c r="F112" s="130" t="s">
        <v>132</v>
      </c>
      <c r="G112" s="130" t="s">
        <v>25</v>
      </c>
      <c r="H112" s="139" t="s">
        <v>24</v>
      </c>
      <c r="I112" s="140" t="s">
        <v>132</v>
      </c>
      <c r="J112" s="141" t="s">
        <v>25</v>
      </c>
    </row>
    <row r="113" spans="1:10">
      <c r="A113" s="22" t="s">
        <v>162</v>
      </c>
      <c r="B113" s="21" t="s">
        <v>163</v>
      </c>
      <c r="C113" s="143" t="s">
        <v>164</v>
      </c>
      <c r="D113" s="21" t="s">
        <v>165</v>
      </c>
      <c r="E113" s="21" t="s">
        <v>166</v>
      </c>
      <c r="F113" s="21" t="s">
        <v>167</v>
      </c>
      <c r="G113" s="143" t="s">
        <v>168</v>
      </c>
      <c r="H113" s="128" t="s">
        <v>169</v>
      </c>
      <c r="I113" s="21" t="s">
        <v>170</v>
      </c>
      <c r="J113" s="22" t="s">
        <v>171</v>
      </c>
    </row>
    <row r="114" spans="1:10">
      <c r="A114" s="38" t="s">
        <v>126</v>
      </c>
      <c r="B114" s="16">
        <v>20.434999999999999</v>
      </c>
      <c r="C114" s="14">
        <v>67.967138960952568</v>
      </c>
      <c r="D114" s="136">
        <v>-5.2487596791394324</v>
      </c>
      <c r="E114" s="33">
        <v>8.9440000000000008</v>
      </c>
      <c r="F114" s="14">
        <v>29.747887979777826</v>
      </c>
      <c r="G114" s="136">
        <v>8.7813184140112064</v>
      </c>
      <c r="H114" s="16">
        <v>0.68700000000000006</v>
      </c>
      <c r="I114" s="14">
        <v>2.2849730592696069</v>
      </c>
      <c r="J114" s="131">
        <v>25.364963503649637</v>
      </c>
    </row>
    <row r="115" spans="1:10">
      <c r="A115" s="38" t="s">
        <v>128</v>
      </c>
      <c r="B115" s="16">
        <v>21.013999999999999</v>
      </c>
      <c r="C115" s="14">
        <v>67.169570081508724</v>
      </c>
      <c r="D115" s="136">
        <v>2.8333741130413537</v>
      </c>
      <c r="E115" s="33">
        <v>9.8079999999999998</v>
      </c>
      <c r="F115" s="14">
        <v>31.350487454051464</v>
      </c>
      <c r="G115" s="136">
        <v>9.660107334525927</v>
      </c>
      <c r="H115" s="16">
        <v>0.46300000000000002</v>
      </c>
      <c r="I115" s="14">
        <v>1.4799424644398278</v>
      </c>
      <c r="J115" s="131">
        <v>-32.60553129548763</v>
      </c>
    </row>
    <row r="116" spans="1:10">
      <c r="A116" s="38" t="s">
        <v>133</v>
      </c>
      <c r="B116" s="16">
        <v>21.585999999999999</v>
      </c>
      <c r="C116" s="14">
        <v>63.525603296056509</v>
      </c>
      <c r="D116" s="136">
        <v>2.7219948605691404</v>
      </c>
      <c r="E116" s="33">
        <v>11.788</v>
      </c>
      <c r="F116" s="14">
        <v>34.690994702766332</v>
      </c>
      <c r="G116" s="136">
        <v>20.187601957585649</v>
      </c>
      <c r="H116" s="16">
        <v>0.60599999999999998</v>
      </c>
      <c r="I116" s="14">
        <v>1.7834020011771632</v>
      </c>
      <c r="J116" s="131">
        <v>30.885529157667374</v>
      </c>
    </row>
    <row r="117" spans="1:10">
      <c r="A117" s="38" t="s">
        <v>211</v>
      </c>
      <c r="B117" s="16">
        <v>21.308</v>
      </c>
      <c r="C117" s="14">
        <v>65.722833965639566</v>
      </c>
      <c r="D117" s="136">
        <v>-1.2878717687389916</v>
      </c>
      <c r="E117" s="33">
        <v>10.114000000000001</v>
      </c>
      <c r="F117" s="14">
        <v>31.195829863360171</v>
      </c>
      <c r="G117" s="136">
        <v>-14.200882253138781</v>
      </c>
      <c r="H117" s="16">
        <v>0.999</v>
      </c>
      <c r="I117" s="14">
        <v>3.0813361710002778</v>
      </c>
      <c r="J117" s="131">
        <v>64.851485148514854</v>
      </c>
    </row>
    <row r="118" spans="1:10">
      <c r="A118" s="38" t="s">
        <v>219</v>
      </c>
      <c r="B118" s="16">
        <v>22.338000000000001</v>
      </c>
      <c r="C118" s="14">
        <v>65.563088843884842</v>
      </c>
      <c r="D118" s="136">
        <v>4.8338652149427501</v>
      </c>
      <c r="E118" s="33">
        <v>10.526</v>
      </c>
      <c r="F118" s="14">
        <v>30.894308943089431</v>
      </c>
      <c r="G118" s="136">
        <v>4.073561400039539</v>
      </c>
      <c r="H118" s="16">
        <v>1.2070000000000001</v>
      </c>
      <c r="I118" s="14">
        <v>3.5426022130257406</v>
      </c>
      <c r="J118" s="131">
        <v>20.820820820820828</v>
      </c>
    </row>
    <row r="119" spans="1:10">
      <c r="A119" s="38" t="s">
        <v>222</v>
      </c>
      <c r="B119" s="16">
        <v>23.143999999999998</v>
      </c>
      <c r="C119" s="14">
        <v>61.336230885431846</v>
      </c>
      <c r="D119" s="136">
        <v>3.6082012713761187</v>
      </c>
      <c r="E119" s="33">
        <v>13.064</v>
      </c>
      <c r="F119" s="14">
        <v>34.622213977155283</v>
      </c>
      <c r="G119" s="136">
        <v>24.111723351700551</v>
      </c>
      <c r="H119" s="16">
        <v>1.5249999999999999</v>
      </c>
      <c r="I119" s="14">
        <v>4.0415551374128746</v>
      </c>
      <c r="J119" s="131">
        <v>26.34631317315657</v>
      </c>
    </row>
    <row r="120" spans="1:10">
      <c r="A120" s="38" t="s">
        <v>226</v>
      </c>
      <c r="B120" s="33">
        <v>24.59</v>
      </c>
      <c r="C120" s="14">
        <v>58.088443730511194</v>
      </c>
      <c r="D120" s="136">
        <v>6.2478396128586304</v>
      </c>
      <c r="E120" s="33">
        <v>14.779</v>
      </c>
      <c r="F120" s="14">
        <v>34.912123216479259</v>
      </c>
      <c r="G120" s="136">
        <v>13.127679118187386</v>
      </c>
      <c r="H120" s="16">
        <v>2.9630000000000001</v>
      </c>
      <c r="I120" s="14">
        <v>6.9994330530095441</v>
      </c>
      <c r="J120" s="131">
        <v>94.295081967213122</v>
      </c>
    </row>
    <row r="121" spans="1:10">
      <c r="A121" s="38" t="s">
        <v>229</v>
      </c>
      <c r="B121" s="16">
        <v>24.844000000000001</v>
      </c>
      <c r="C121" s="14">
        <v>53.482014078746261</v>
      </c>
      <c r="D121" s="136">
        <v>1.0329402196014694</v>
      </c>
      <c r="E121" s="33">
        <v>14.528</v>
      </c>
      <c r="F121" s="14">
        <v>31.274621660603188</v>
      </c>
      <c r="G121" s="136">
        <v>-1.6983557750862672</v>
      </c>
      <c r="H121" s="16">
        <v>7.0810000000000004</v>
      </c>
      <c r="I121" s="14">
        <v>15.24336426065055</v>
      </c>
      <c r="J121" s="131">
        <v>138.98076274046574</v>
      </c>
    </row>
    <row r="122" spans="1:10">
      <c r="A122" s="38" t="s">
        <v>258</v>
      </c>
      <c r="B122" s="16">
        <v>25.056000000000001</v>
      </c>
      <c r="C122" s="14">
        <v>56.596869282374463</v>
      </c>
      <c r="D122" s="136">
        <v>0.853324746417645</v>
      </c>
      <c r="E122" s="16">
        <v>11.587999999999999</v>
      </c>
      <c r="F122" s="14">
        <v>26.175148517087933</v>
      </c>
      <c r="G122" s="136">
        <v>-20.236784140969171</v>
      </c>
      <c r="H122" s="16">
        <v>7.6269999999999998</v>
      </c>
      <c r="I122" s="14">
        <v>17.227982200537596</v>
      </c>
      <c r="J122" s="131">
        <v>7.7107753142211459</v>
      </c>
    </row>
    <row r="123" spans="1:10">
      <c r="A123" s="40" t="s">
        <v>281</v>
      </c>
      <c r="B123" s="37">
        <v>25.19</v>
      </c>
      <c r="C123" s="137">
        <v>52.185622539879844</v>
      </c>
      <c r="D123" s="145">
        <v>0.53480204342273441</v>
      </c>
      <c r="E123" s="37">
        <v>12.317</v>
      </c>
      <c r="F123" s="137">
        <v>25.516884193080593</v>
      </c>
      <c r="G123" s="145">
        <v>6.2909906800138158</v>
      </c>
      <c r="H123" s="34">
        <v>10.763</v>
      </c>
      <c r="I123" s="137">
        <v>22.29749326703957</v>
      </c>
      <c r="J123" s="146">
        <v>41.117084043529573</v>
      </c>
    </row>
    <row r="124" spans="1:10">
      <c r="A124" s="3"/>
      <c r="B124" s="16"/>
      <c r="C124" s="3"/>
      <c r="D124" s="3"/>
      <c r="E124" s="16"/>
      <c r="F124" s="3"/>
      <c r="G124" s="3"/>
      <c r="H124" s="3"/>
      <c r="I124" s="3"/>
      <c r="J124" s="3"/>
    </row>
    <row r="125" spans="1:10">
      <c r="A125" s="3"/>
      <c r="B125" s="12"/>
      <c r="C125" s="3"/>
      <c r="D125" s="3"/>
      <c r="E125" s="1654" t="s">
        <v>0</v>
      </c>
      <c r="F125" s="1656" t="s">
        <v>33</v>
      </c>
      <c r="G125" s="1657"/>
      <c r="H125" s="126"/>
      <c r="I125" s="126"/>
      <c r="J125" s="3"/>
    </row>
    <row r="126" spans="1:10">
      <c r="A126" s="3"/>
      <c r="B126" s="12"/>
      <c r="C126" s="3"/>
      <c r="D126" s="3"/>
      <c r="E126" s="1655"/>
      <c r="F126" s="147" t="s">
        <v>24</v>
      </c>
      <c r="G126" s="148" t="s">
        <v>25</v>
      </c>
      <c r="H126" s="149"/>
      <c r="I126" s="3"/>
      <c r="J126" s="3"/>
    </row>
    <row r="127" spans="1:10">
      <c r="A127" s="3"/>
      <c r="B127" s="12"/>
      <c r="C127" s="3"/>
      <c r="D127" s="3"/>
      <c r="E127" s="22" t="s">
        <v>172</v>
      </c>
      <c r="F127" s="21" t="s">
        <v>173</v>
      </c>
      <c r="G127" s="22" t="s">
        <v>174</v>
      </c>
      <c r="H127" s="3"/>
      <c r="I127" s="12"/>
      <c r="J127" s="3"/>
    </row>
    <row r="128" spans="1:10">
      <c r="A128" s="18"/>
      <c r="B128" s="18"/>
      <c r="C128" s="18"/>
      <c r="D128" s="18"/>
      <c r="E128" s="3" t="s">
        <v>126</v>
      </c>
      <c r="F128" s="20">
        <v>30.065999999999999</v>
      </c>
      <c r="G128" s="14">
        <v>-0.89329861225566398</v>
      </c>
      <c r="H128" s="20"/>
      <c r="I128" s="18"/>
      <c r="J128" s="18"/>
    </row>
    <row r="129" spans="1:10">
      <c r="A129" s="18"/>
      <c r="B129" s="18"/>
      <c r="C129" s="18"/>
      <c r="D129" s="18"/>
      <c r="E129" s="3" t="s">
        <v>128</v>
      </c>
      <c r="F129" s="20">
        <v>31.284999999999997</v>
      </c>
      <c r="G129" s="14">
        <v>4.0544136233619295</v>
      </c>
      <c r="H129" s="20"/>
      <c r="I129" s="18"/>
      <c r="J129" s="18"/>
    </row>
    <row r="130" spans="1:10">
      <c r="A130" s="18"/>
      <c r="B130" s="18"/>
      <c r="C130" s="18"/>
      <c r="D130" s="18"/>
      <c r="E130" s="3" t="s">
        <v>133</v>
      </c>
      <c r="F130" s="20">
        <v>33.979999999999997</v>
      </c>
      <c r="G130" s="14">
        <v>8.6143519258430565</v>
      </c>
      <c r="H130" s="20"/>
      <c r="I130" s="18"/>
      <c r="J130" s="18"/>
    </row>
    <row r="131" spans="1:10">
      <c r="A131" s="18"/>
      <c r="B131" s="18"/>
      <c r="C131" s="18"/>
      <c r="D131" s="18"/>
      <c r="E131" s="3" t="s">
        <v>211</v>
      </c>
      <c r="F131" s="20">
        <v>32.420999999999999</v>
      </c>
      <c r="G131" s="14">
        <v>-4.5879929370217702</v>
      </c>
      <c r="H131" s="20"/>
      <c r="I131" s="18"/>
      <c r="J131" s="18"/>
    </row>
    <row r="132" spans="1:10">
      <c r="A132" s="18"/>
      <c r="B132" s="18"/>
      <c r="C132" s="18"/>
      <c r="D132" s="18"/>
      <c r="E132" s="3" t="s">
        <v>219</v>
      </c>
      <c r="F132" s="20">
        <v>34.070999999999998</v>
      </c>
      <c r="G132" s="14">
        <v>5.0892939761265801</v>
      </c>
      <c r="H132" s="20"/>
      <c r="I132" s="18"/>
      <c r="J132" s="18"/>
    </row>
    <row r="133" spans="1:10">
      <c r="A133" s="18"/>
      <c r="B133" s="18"/>
      <c r="C133" s="18"/>
      <c r="D133" s="18"/>
      <c r="E133" s="3" t="s">
        <v>222</v>
      </c>
      <c r="F133" s="20">
        <v>37.732999999999997</v>
      </c>
      <c r="G133" s="14">
        <v>10.748143582518857</v>
      </c>
      <c r="H133" s="20"/>
      <c r="I133" s="18"/>
      <c r="J133" s="18"/>
    </row>
    <row r="134" spans="1:10">
      <c r="A134" s="18"/>
      <c r="B134" s="18"/>
      <c r="C134" s="18"/>
      <c r="D134" s="18"/>
      <c r="E134" s="3" t="s">
        <v>226</v>
      </c>
      <c r="F134" s="20">
        <v>42.332000000000001</v>
      </c>
      <c r="G134" s="14">
        <v>12.188270214401198</v>
      </c>
      <c r="H134" s="20"/>
      <c r="I134" s="18"/>
      <c r="J134" s="18"/>
    </row>
    <row r="135" spans="1:10">
      <c r="A135" s="18"/>
      <c r="B135" s="18"/>
      <c r="C135" s="18"/>
      <c r="D135" s="18"/>
      <c r="E135" s="3" t="s">
        <v>229</v>
      </c>
      <c r="F135" s="20">
        <v>46.453000000000003</v>
      </c>
      <c r="G135" s="14">
        <v>9.7349522819616432</v>
      </c>
      <c r="H135" s="20"/>
      <c r="I135" s="18"/>
      <c r="J135" s="18"/>
    </row>
    <row r="136" spans="1:10">
      <c r="A136" s="18"/>
      <c r="B136" s="18"/>
      <c r="C136" s="18"/>
      <c r="D136" s="18"/>
      <c r="E136" s="3" t="s">
        <v>258</v>
      </c>
      <c r="F136" s="20">
        <v>44.271000000000001</v>
      </c>
      <c r="G136" s="14">
        <v>-4.6972208468774932</v>
      </c>
      <c r="H136" s="20"/>
      <c r="I136" s="18"/>
      <c r="J136" s="18"/>
    </row>
    <row r="137" spans="1:10" ht="13.5" thickBot="1">
      <c r="A137" s="43"/>
      <c r="B137" s="43"/>
      <c r="C137" s="43"/>
      <c r="D137" s="43"/>
      <c r="E137" s="150" t="s">
        <v>281</v>
      </c>
      <c r="F137" s="44">
        <v>48.269999999999996</v>
      </c>
      <c r="G137" s="151">
        <v>9.033001287524554</v>
      </c>
      <c r="H137" s="44"/>
      <c r="I137" s="43"/>
      <c r="J137" s="43"/>
    </row>
  </sheetData>
  <mergeCells count="25">
    <mergeCell ref="E125:E126"/>
    <mergeCell ref="F125:G125"/>
    <mergeCell ref="B3:D3"/>
    <mergeCell ref="B72:D72"/>
    <mergeCell ref="A72:A73"/>
    <mergeCell ref="A111:A112"/>
    <mergeCell ref="B111:D111"/>
    <mergeCell ref="E111:G111"/>
    <mergeCell ref="A3:A4"/>
    <mergeCell ref="E3:G3"/>
    <mergeCell ref="H3:J3"/>
    <mergeCell ref="A17:A18"/>
    <mergeCell ref="B17:D17"/>
    <mergeCell ref="E17:G17"/>
    <mergeCell ref="H17:J17"/>
    <mergeCell ref="H111:J111"/>
    <mergeCell ref="A31:A32"/>
    <mergeCell ref="B31:D31"/>
    <mergeCell ref="E31:G31"/>
    <mergeCell ref="A58:A59"/>
    <mergeCell ref="B58:D58"/>
    <mergeCell ref="I72:J72"/>
    <mergeCell ref="H72:H73"/>
    <mergeCell ref="E58:G58"/>
    <mergeCell ref="H58:J58"/>
  </mergeCells>
  <pageMargins left="0.70866141732283505" right="0.55118110236220497" top="0.74803149606299202" bottom="0.74803149606299202" header="0.31496062992126" footer="0.31496062992126"/>
  <pageSetup firstPageNumber="12" orientation="portrait" useFirstPageNumber="1" r:id="rId1"/>
  <headerFooter scaleWithDoc="0" alignWithMargins="0">
    <oddFooter>&amp;C3.&amp;P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tabColor rgb="FF00B050"/>
  </sheetPr>
  <dimension ref="A1:O58"/>
  <sheetViews>
    <sheetView view="pageBreakPreview" zoomScaleNormal="100" zoomScaleSheetLayoutView="100" workbookViewId="0">
      <pane xSplit="1" ySplit="5" topLeftCell="B6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L46" sqref="L46"/>
    </sheetView>
  </sheetViews>
  <sheetFormatPr defaultColWidth="9.140625" defaultRowHeight="12.75"/>
  <cols>
    <col min="1" max="1" width="14.140625" style="893" customWidth="1"/>
    <col min="2" max="2" width="9" style="892" customWidth="1"/>
    <col min="3" max="3" width="10" style="892" customWidth="1"/>
    <col min="4" max="5" width="9" style="892" customWidth="1"/>
    <col min="6" max="6" width="10" style="892" customWidth="1"/>
    <col min="7" max="8" width="9" style="892" customWidth="1"/>
    <col min="9" max="9" width="10" style="892" customWidth="1"/>
    <col min="10" max="10" width="9" style="892" customWidth="1"/>
    <col min="11" max="11" width="7" style="892" customWidth="1"/>
    <col min="12" max="16384" width="9.140625" style="893"/>
  </cols>
  <sheetData>
    <row r="1" spans="1:15" s="870" customFormat="1" ht="18" customHeight="1">
      <c r="A1" s="1665" t="s">
        <v>499</v>
      </c>
      <c r="B1" s="1666"/>
      <c r="C1" s="1666"/>
      <c r="D1" s="1666"/>
      <c r="E1" s="1666"/>
      <c r="F1" s="1666"/>
      <c r="G1" s="1666"/>
      <c r="H1" s="1666"/>
      <c r="I1" s="1666"/>
      <c r="J1" s="1666"/>
    </row>
    <row r="2" spans="1:15" s="870" customFormat="1" ht="14.25" customHeight="1">
      <c r="A2" s="1663" t="s">
        <v>417</v>
      </c>
      <c r="B2" s="1664"/>
      <c r="C2" s="1664"/>
      <c r="D2" s="1664"/>
      <c r="E2" s="1664"/>
      <c r="F2" s="1664"/>
      <c r="G2" s="1664"/>
      <c r="H2" s="1664"/>
      <c r="I2" s="1664"/>
      <c r="J2" s="1664"/>
    </row>
    <row r="3" spans="1:15" s="872" customFormat="1">
      <c r="A3" s="1667" t="s">
        <v>79</v>
      </c>
      <c r="B3" s="1660" t="s">
        <v>431</v>
      </c>
      <c r="C3" s="1660"/>
      <c r="D3" s="1660"/>
      <c r="E3" s="1660" t="s">
        <v>504</v>
      </c>
      <c r="F3" s="1660"/>
      <c r="G3" s="1660"/>
      <c r="H3" s="1661" t="s">
        <v>538</v>
      </c>
      <c r="I3" s="1660"/>
      <c r="J3" s="1662"/>
    </row>
    <row r="4" spans="1:15" s="872" customFormat="1" ht="27" customHeight="1">
      <c r="A4" s="1668"/>
      <c r="B4" s="1178" t="s">
        <v>107</v>
      </c>
      <c r="C4" s="1176" t="s">
        <v>108</v>
      </c>
      <c r="D4" s="1423" t="s">
        <v>76</v>
      </c>
      <c r="E4" s="1178" t="s">
        <v>107</v>
      </c>
      <c r="F4" s="1176" t="s">
        <v>108</v>
      </c>
      <c r="G4" s="1176" t="s">
        <v>76</v>
      </c>
      <c r="H4" s="1179" t="s">
        <v>107</v>
      </c>
      <c r="I4" s="1176" t="s">
        <v>108</v>
      </c>
      <c r="J4" s="1180" t="s">
        <v>76</v>
      </c>
    </row>
    <row r="5" spans="1:15" s="871" customFormat="1" ht="19.5" customHeight="1">
      <c r="A5" s="1104" t="s">
        <v>162</v>
      </c>
      <c r="B5" s="1138" t="s">
        <v>163</v>
      </c>
      <c r="C5" s="1138" t="s">
        <v>164</v>
      </c>
      <c r="D5" s="1427" t="s">
        <v>165</v>
      </c>
      <c r="E5" s="1138" t="s">
        <v>166</v>
      </c>
      <c r="F5" s="1138" t="s">
        <v>167</v>
      </c>
      <c r="G5" s="1427" t="s">
        <v>168</v>
      </c>
      <c r="H5" s="1138" t="s">
        <v>169</v>
      </c>
      <c r="I5" s="1427" t="s">
        <v>170</v>
      </c>
      <c r="J5" s="1138" t="s">
        <v>171</v>
      </c>
    </row>
    <row r="6" spans="1:15" s="872" customFormat="1" ht="14.25" customHeight="1">
      <c r="A6" s="873" t="s">
        <v>37</v>
      </c>
      <c r="B6" s="877">
        <v>7.0000000000000001E-3</v>
      </c>
      <c r="C6" s="1102">
        <v>35.011000000000003</v>
      </c>
      <c r="D6" s="1424">
        <v>35.018000000000001</v>
      </c>
      <c r="E6" s="877">
        <v>1.2E-2</v>
      </c>
      <c r="F6" s="1102">
        <v>47.548000000000002</v>
      </c>
      <c r="G6" s="878">
        <v>47.56</v>
      </c>
      <c r="H6" s="1102">
        <v>1.7071296E-2</v>
      </c>
      <c r="I6" s="1102">
        <v>52.017537068000003</v>
      </c>
      <c r="J6" s="1279">
        <v>52.034608364</v>
      </c>
    </row>
    <row r="7" spans="1:15" s="872" customFormat="1" ht="14.25" customHeight="1">
      <c r="A7" s="879" t="s">
        <v>38</v>
      </c>
      <c r="B7" s="880">
        <v>33.716000000000001</v>
      </c>
      <c r="C7" s="881">
        <v>2.4630000000000001</v>
      </c>
      <c r="D7" s="1425">
        <v>36.179000000000002</v>
      </c>
      <c r="E7" s="877">
        <v>39.109000000000002</v>
      </c>
      <c r="F7" s="1102">
        <v>1.9870000000000001</v>
      </c>
      <c r="G7" s="882">
        <v>41.096000000000004</v>
      </c>
      <c r="H7" s="1102">
        <v>38.888155602000005</v>
      </c>
      <c r="I7" s="1102">
        <v>1.6140080000000001</v>
      </c>
      <c r="J7" s="1280">
        <v>40.502163602000003</v>
      </c>
    </row>
    <row r="8" spans="1:15" s="872" customFormat="1" ht="14.25" customHeight="1">
      <c r="A8" s="879" t="s">
        <v>39</v>
      </c>
      <c r="B8" s="880">
        <v>20.553999999999998</v>
      </c>
      <c r="C8" s="881">
        <v>55.533000000000001</v>
      </c>
      <c r="D8" s="1425">
        <v>76.087000000000003</v>
      </c>
      <c r="E8" s="877">
        <v>21.06</v>
      </c>
      <c r="F8" s="1102">
        <v>64.994</v>
      </c>
      <c r="G8" s="882">
        <v>86.054000000000002</v>
      </c>
      <c r="H8" s="1102">
        <v>20.539223975000002</v>
      </c>
      <c r="I8" s="1102">
        <v>66.997694780000003</v>
      </c>
      <c r="J8" s="1280">
        <v>87.536918755000002</v>
      </c>
    </row>
    <row r="9" spans="1:15" s="872" customFormat="1" ht="14.25" customHeight="1">
      <c r="A9" s="879" t="s">
        <v>40</v>
      </c>
      <c r="B9" s="880">
        <v>0</v>
      </c>
      <c r="C9" s="881">
        <v>131.16900000000001</v>
      </c>
      <c r="D9" s="1425">
        <v>131.16900000000001</v>
      </c>
      <c r="E9" s="877"/>
      <c r="F9" s="1102">
        <v>136.148</v>
      </c>
      <c r="G9" s="882">
        <v>136.148</v>
      </c>
      <c r="H9" s="1102"/>
      <c r="I9" s="1102">
        <v>139.00021964000001</v>
      </c>
      <c r="J9" s="1280">
        <v>139.00021964000001</v>
      </c>
    </row>
    <row r="10" spans="1:15" s="872" customFormat="1" ht="14.25" customHeight="1">
      <c r="A10" s="879" t="s">
        <v>41</v>
      </c>
      <c r="B10" s="880">
        <v>9.4E-2</v>
      </c>
      <c r="C10" s="881">
        <v>64.189000000000007</v>
      </c>
      <c r="D10" s="1425">
        <v>64.283000000000001</v>
      </c>
      <c r="E10" s="877">
        <v>3.5999999999999997E-2</v>
      </c>
      <c r="F10" s="1102">
        <v>69.076999999999998</v>
      </c>
      <c r="G10" s="882">
        <v>69.113</v>
      </c>
      <c r="H10" s="1102"/>
      <c r="I10" s="1102">
        <v>69.120971080999979</v>
      </c>
      <c r="J10" s="1280">
        <v>69.120971080999979</v>
      </c>
    </row>
    <row r="11" spans="1:15" s="872" customFormat="1" ht="14.25" customHeight="1">
      <c r="A11" s="879" t="s">
        <v>42</v>
      </c>
      <c r="B11" s="880">
        <v>0.247</v>
      </c>
      <c r="C11" s="881">
        <v>164.708</v>
      </c>
      <c r="D11" s="1425">
        <v>164.95500000000001</v>
      </c>
      <c r="E11" s="877">
        <v>0.216</v>
      </c>
      <c r="F11" s="1102">
        <v>187.16</v>
      </c>
      <c r="G11" s="882">
        <v>187.376</v>
      </c>
      <c r="H11" s="1102">
        <v>0.22267000000000001</v>
      </c>
      <c r="I11" s="1102">
        <v>167.26447669999999</v>
      </c>
      <c r="J11" s="1280">
        <v>167.48714669999998</v>
      </c>
    </row>
    <row r="12" spans="1:15" s="872" customFormat="1" ht="14.25" customHeight="1">
      <c r="A12" s="883" t="s">
        <v>294</v>
      </c>
      <c r="B12" s="880">
        <v>0</v>
      </c>
      <c r="C12" s="881">
        <v>2.0510000000000002</v>
      </c>
      <c r="D12" s="1425">
        <v>2.0510000000000002</v>
      </c>
      <c r="E12" s="877"/>
      <c r="F12" s="1102">
        <v>0.16</v>
      </c>
      <c r="G12" s="882">
        <v>0.16</v>
      </c>
      <c r="H12" s="1102"/>
      <c r="I12" s="1102"/>
      <c r="J12" s="1280">
        <v>0</v>
      </c>
    </row>
    <row r="13" spans="1:15" s="872" customFormat="1" ht="14.25" customHeight="1">
      <c r="A13" s="879" t="s">
        <v>43</v>
      </c>
      <c r="B13" s="880">
        <v>0</v>
      </c>
      <c r="C13" s="881">
        <v>193.262</v>
      </c>
      <c r="D13" s="1425">
        <v>193.262</v>
      </c>
      <c r="E13" s="877"/>
      <c r="F13" s="1102">
        <v>206.09899999999999</v>
      </c>
      <c r="G13" s="882">
        <v>206.09899999999999</v>
      </c>
      <c r="H13" s="1102"/>
      <c r="I13" s="1102">
        <v>225.17363553000001</v>
      </c>
      <c r="J13" s="1280">
        <v>225.17363553000001</v>
      </c>
    </row>
    <row r="14" spans="1:15" s="872" customFormat="1" ht="14.25" customHeight="1">
      <c r="A14" s="884" t="s">
        <v>44</v>
      </c>
      <c r="B14" s="885">
        <v>0</v>
      </c>
      <c r="C14" s="886">
        <v>0.2</v>
      </c>
      <c r="D14" s="1426">
        <v>0.2</v>
      </c>
      <c r="E14" s="877"/>
      <c r="F14" s="1102">
        <v>0.2</v>
      </c>
      <c r="G14" s="887">
        <v>0.2</v>
      </c>
      <c r="H14" s="1102"/>
      <c r="I14" s="1102">
        <v>0.2</v>
      </c>
      <c r="J14" s="1281">
        <v>0.2</v>
      </c>
    </row>
    <row r="15" spans="1:15" s="889" customFormat="1" ht="16.5" customHeight="1">
      <c r="A15" s="1095" t="s">
        <v>50</v>
      </c>
      <c r="B15" s="1096">
        <v>54.618000000000002</v>
      </c>
      <c r="C15" s="1096">
        <v>648.58600000000001</v>
      </c>
      <c r="D15" s="1106">
        <v>703.20400000000006</v>
      </c>
      <c r="E15" s="1096">
        <v>60.433</v>
      </c>
      <c r="F15" s="1096">
        <v>713.37300000000005</v>
      </c>
      <c r="G15" s="1096">
        <v>773.80600000000004</v>
      </c>
      <c r="H15" s="1108">
        <v>59.667120873000009</v>
      </c>
      <c r="I15" s="1096">
        <v>721.38854279900011</v>
      </c>
      <c r="J15" s="1282">
        <v>781.05566367200004</v>
      </c>
      <c r="O15" s="872"/>
    </row>
    <row r="16" spans="1:15" s="872" customFormat="1" ht="14.25" customHeight="1">
      <c r="A16" s="879" t="s">
        <v>45</v>
      </c>
      <c r="B16" s="880"/>
      <c r="C16" s="881">
        <v>67.137</v>
      </c>
      <c r="D16" s="1425">
        <v>67.137</v>
      </c>
      <c r="E16" s="880"/>
      <c r="F16" s="1102">
        <v>70.021000000000001</v>
      </c>
      <c r="G16" s="882">
        <v>70.021000000000001</v>
      </c>
      <c r="H16" s="1103"/>
      <c r="I16" s="1102">
        <v>69.006396056000014</v>
      </c>
      <c r="J16" s="1280">
        <v>69.006396056000014</v>
      </c>
    </row>
    <row r="17" spans="1:10" s="872" customFormat="1" ht="14.25" customHeight="1">
      <c r="A17" s="879" t="s">
        <v>51</v>
      </c>
      <c r="B17" s="880"/>
      <c r="C17" s="881">
        <v>0.01</v>
      </c>
      <c r="D17" s="1425">
        <v>0.01</v>
      </c>
      <c r="E17" s="880"/>
      <c r="F17" s="1102">
        <v>8.0000000000000002E-3</v>
      </c>
      <c r="G17" s="882">
        <v>8.0000000000000002E-3</v>
      </c>
      <c r="H17" s="1103"/>
      <c r="I17" s="1102">
        <v>1.0232E-2</v>
      </c>
      <c r="J17" s="1280">
        <v>1.0232E-2</v>
      </c>
    </row>
    <row r="18" spans="1:10" s="872" customFormat="1" ht="14.25" customHeight="1">
      <c r="A18" s="879" t="s">
        <v>46</v>
      </c>
      <c r="B18" s="880"/>
      <c r="C18" s="881">
        <v>3.3000000000000002E-2</v>
      </c>
      <c r="D18" s="1425">
        <v>3.3000000000000002E-2</v>
      </c>
      <c r="E18" s="880"/>
      <c r="F18" s="1102">
        <v>1.52</v>
      </c>
      <c r="G18" s="882">
        <v>1.52</v>
      </c>
      <c r="H18" s="1103"/>
      <c r="I18" s="1102">
        <v>4.01</v>
      </c>
      <c r="J18" s="1280">
        <v>4.01</v>
      </c>
    </row>
    <row r="19" spans="1:10" s="872" customFormat="1" ht="14.25" customHeight="1">
      <c r="A19" s="879" t="s">
        <v>47</v>
      </c>
      <c r="B19" s="880">
        <v>6.9000000000000006E-2</v>
      </c>
      <c r="C19" s="881">
        <v>1.7000000000000001E-2</v>
      </c>
      <c r="D19" s="1425">
        <v>8.6000000000000007E-2</v>
      </c>
      <c r="E19" s="877">
        <v>0.13100000000000001</v>
      </c>
      <c r="F19" s="1102">
        <v>7.4999999999999997E-2</v>
      </c>
      <c r="G19" s="882">
        <v>0.20600000000000002</v>
      </c>
      <c r="H19" s="1102">
        <v>8.9674699999999996E-2</v>
      </c>
      <c r="I19" s="1102">
        <v>9.8352000000000009E-2</v>
      </c>
      <c r="J19" s="1280">
        <v>0.18802669999999999</v>
      </c>
    </row>
    <row r="20" spans="1:10" s="872" customFormat="1" ht="14.25" customHeight="1">
      <c r="A20" s="879" t="s">
        <v>54</v>
      </c>
      <c r="B20" s="880">
        <v>0.30299999999999999</v>
      </c>
      <c r="C20" s="881"/>
      <c r="D20" s="1425">
        <v>0.30299999999999999</v>
      </c>
      <c r="E20" s="877">
        <v>0.33300000000000002</v>
      </c>
      <c r="F20" s="881"/>
      <c r="G20" s="882">
        <v>0.33300000000000002</v>
      </c>
      <c r="H20" s="1102">
        <v>0.49753358000000003</v>
      </c>
      <c r="I20" s="881"/>
      <c r="J20" s="1280">
        <v>0.49753358000000003</v>
      </c>
    </row>
    <row r="21" spans="1:10" s="872" customFormat="1" ht="14.25" customHeight="1">
      <c r="A21" s="883" t="s">
        <v>94</v>
      </c>
      <c r="B21" s="880"/>
      <c r="C21" s="881">
        <v>0.30499999999999999</v>
      </c>
      <c r="D21" s="1425">
        <v>0.30499999999999999</v>
      </c>
      <c r="E21" s="880"/>
      <c r="F21" s="1102">
        <v>0.33600000000000002</v>
      </c>
      <c r="G21" s="882">
        <v>0.33600000000000002</v>
      </c>
      <c r="H21" s="1103"/>
      <c r="I21" s="1102">
        <v>0.13058799999999998</v>
      </c>
      <c r="J21" s="1280">
        <v>0.13058799999999998</v>
      </c>
    </row>
    <row r="22" spans="1:10" s="872" customFormat="1" ht="14.25" customHeight="1">
      <c r="A22" s="883" t="s">
        <v>263</v>
      </c>
      <c r="B22" s="880"/>
      <c r="C22" s="881">
        <v>11.801</v>
      </c>
      <c r="D22" s="1425">
        <v>11.801</v>
      </c>
      <c r="E22" s="880"/>
      <c r="F22" s="1102">
        <v>6.7009999999999996</v>
      </c>
      <c r="G22" s="882">
        <v>6.7009999999999996</v>
      </c>
      <c r="H22" s="1103"/>
      <c r="I22" s="1102">
        <v>16.323368300000002</v>
      </c>
      <c r="J22" s="1280">
        <v>16.323368300000002</v>
      </c>
    </row>
    <row r="23" spans="1:10" s="872" customFormat="1" ht="14.25" customHeight="1">
      <c r="A23" s="879" t="s">
        <v>304</v>
      </c>
      <c r="B23" s="880"/>
      <c r="C23" s="881">
        <v>23.202999999999999</v>
      </c>
      <c r="D23" s="1425">
        <v>23.202999999999999</v>
      </c>
      <c r="E23" s="880"/>
      <c r="F23" s="1103">
        <v>34.39</v>
      </c>
      <c r="G23" s="882">
        <v>34.39</v>
      </c>
      <c r="H23" s="1103"/>
      <c r="I23" s="1103">
        <v>42.033972124999998</v>
      </c>
      <c r="J23" s="1280">
        <v>42.033972124999998</v>
      </c>
    </row>
    <row r="24" spans="1:10" s="872" customFormat="1" ht="14.25" customHeight="1">
      <c r="A24" s="879" t="s">
        <v>220</v>
      </c>
      <c r="B24" s="880"/>
      <c r="C24" s="881">
        <v>18.713999999999999</v>
      </c>
      <c r="D24" s="1425">
        <v>18.713999999999999</v>
      </c>
      <c r="E24" s="880"/>
      <c r="F24" s="881">
        <v>18.440000000000001</v>
      </c>
      <c r="G24" s="882">
        <v>18.440000000000001</v>
      </c>
      <c r="H24" s="1103"/>
      <c r="I24" s="881">
        <v>18.164936110000003</v>
      </c>
      <c r="J24" s="1280">
        <v>18.164936110000003</v>
      </c>
    </row>
    <row r="25" spans="1:10" s="872" customFormat="1" ht="14.25" customHeight="1">
      <c r="A25" s="879" t="s">
        <v>335</v>
      </c>
      <c r="B25" s="880"/>
      <c r="C25" s="881">
        <v>3.617</v>
      </c>
      <c r="D25" s="1425">
        <v>3.617</v>
      </c>
      <c r="E25" s="880"/>
      <c r="F25" s="1102">
        <v>4.0030000000000001</v>
      </c>
      <c r="G25" s="882">
        <v>4.0030000000000001</v>
      </c>
      <c r="H25" s="1103"/>
      <c r="I25" s="1102">
        <v>3.9999939999999996</v>
      </c>
      <c r="J25" s="1280">
        <v>3.9999939999999996</v>
      </c>
    </row>
    <row r="26" spans="1:10" s="872" customFormat="1" ht="14.25" customHeight="1">
      <c r="A26" s="879" t="s">
        <v>518</v>
      </c>
      <c r="B26" s="880"/>
      <c r="C26" s="881">
        <v>2.5</v>
      </c>
      <c r="D26" s="1425">
        <v>2.5</v>
      </c>
      <c r="E26" s="880"/>
      <c r="F26" s="1102">
        <v>2.5</v>
      </c>
      <c r="G26" s="882">
        <v>2.5</v>
      </c>
      <c r="H26" s="1103"/>
      <c r="I26" s="1102">
        <v>2.5</v>
      </c>
      <c r="J26" s="1280">
        <v>2.5</v>
      </c>
    </row>
    <row r="27" spans="1:10" s="872" customFormat="1" ht="14.25" customHeight="1">
      <c r="A27" s="879" t="s">
        <v>333</v>
      </c>
      <c r="B27" s="880"/>
      <c r="C27" s="881">
        <v>8</v>
      </c>
      <c r="D27" s="1425">
        <v>8</v>
      </c>
      <c r="E27" s="880"/>
      <c r="F27" s="1102">
        <v>8.5090000000000003</v>
      </c>
      <c r="G27" s="882">
        <v>8.5090000000000003</v>
      </c>
      <c r="H27" s="1103"/>
      <c r="I27" s="1102">
        <v>11.715622003</v>
      </c>
      <c r="J27" s="1280">
        <v>11.715622003</v>
      </c>
    </row>
    <row r="28" spans="1:10" s="872" customFormat="1" ht="14.25" customHeight="1">
      <c r="A28" s="890" t="s">
        <v>392</v>
      </c>
      <c r="B28" s="875"/>
      <c r="C28" s="881">
        <v>0.55100000000000005</v>
      </c>
      <c r="D28" s="1425">
        <v>0.55100000000000005</v>
      </c>
      <c r="E28" s="875"/>
      <c r="F28" s="1102">
        <v>1</v>
      </c>
      <c r="G28" s="882">
        <v>1</v>
      </c>
      <c r="H28" s="876"/>
      <c r="I28" s="1102">
        <v>0.50503900000000002</v>
      </c>
      <c r="J28" s="1280">
        <v>0.50503900000000002</v>
      </c>
    </row>
    <row r="29" spans="1:10" s="872" customFormat="1" ht="14.25" customHeight="1">
      <c r="A29" s="879" t="s">
        <v>393</v>
      </c>
      <c r="B29" s="880"/>
      <c r="C29" s="881">
        <v>10.026</v>
      </c>
      <c r="D29" s="1425">
        <v>10.026</v>
      </c>
      <c r="E29" s="880"/>
      <c r="F29" s="1102">
        <v>12.641</v>
      </c>
      <c r="G29" s="882">
        <v>12.641</v>
      </c>
      <c r="H29" s="1103"/>
      <c r="I29" s="1102">
        <v>17.20165493</v>
      </c>
      <c r="J29" s="1280">
        <v>17.20165493</v>
      </c>
    </row>
    <row r="30" spans="1:10" s="872" customFormat="1" ht="14.25" customHeight="1">
      <c r="A30" s="879" t="s">
        <v>419</v>
      </c>
      <c r="B30" s="880"/>
      <c r="C30" s="881">
        <v>1.6080000000000001</v>
      </c>
      <c r="D30" s="1425">
        <v>1.6080000000000001</v>
      </c>
      <c r="E30" s="880"/>
      <c r="F30" s="1102">
        <v>2.5</v>
      </c>
      <c r="G30" s="882">
        <v>2.5</v>
      </c>
      <c r="H30" s="1103"/>
      <c r="I30" s="1102">
        <v>3.5</v>
      </c>
      <c r="J30" s="1280">
        <v>3.5</v>
      </c>
    </row>
    <row r="31" spans="1:10" s="872" customFormat="1" ht="14.25" customHeight="1">
      <c r="A31" s="879" t="s">
        <v>421</v>
      </c>
      <c r="B31" s="880"/>
      <c r="C31" s="881">
        <v>1.946</v>
      </c>
      <c r="D31" s="1425">
        <v>1.946</v>
      </c>
      <c r="E31" s="880"/>
      <c r="F31" s="1102">
        <v>5</v>
      </c>
      <c r="G31" s="882">
        <v>5</v>
      </c>
      <c r="H31" s="1103"/>
      <c r="I31" s="1102">
        <v>5.8113694999999996</v>
      </c>
      <c r="J31" s="1280">
        <v>5.8113694999999996</v>
      </c>
    </row>
    <row r="32" spans="1:10" s="872" customFormat="1" ht="14.25" customHeight="1">
      <c r="A32" s="883" t="s">
        <v>467</v>
      </c>
      <c r="B32" s="880"/>
      <c r="C32" s="881">
        <v>0.311</v>
      </c>
      <c r="D32" s="1425">
        <v>0.311</v>
      </c>
      <c r="E32" s="880"/>
      <c r="F32" s="1102">
        <v>1.2509999999999999</v>
      </c>
      <c r="G32" s="882">
        <v>1.2509999999999999</v>
      </c>
      <c r="H32" s="1103"/>
      <c r="I32" s="1102">
        <v>3.8013010000000005</v>
      </c>
      <c r="J32" s="1280">
        <v>3.8013010000000005</v>
      </c>
    </row>
    <row r="33" spans="1:10" s="872" customFormat="1" ht="14.25" customHeight="1">
      <c r="A33" s="879" t="s">
        <v>465</v>
      </c>
      <c r="B33" s="880"/>
      <c r="C33" s="881">
        <v>0.50700000000000001</v>
      </c>
      <c r="D33" s="1425">
        <v>0.50700000000000001</v>
      </c>
      <c r="E33" s="880"/>
      <c r="F33" s="1102">
        <v>4.6280000000000001</v>
      </c>
      <c r="G33" s="882">
        <v>4.6280000000000001</v>
      </c>
      <c r="H33" s="1103"/>
      <c r="I33" s="1102">
        <v>7</v>
      </c>
      <c r="J33" s="1280">
        <v>7</v>
      </c>
    </row>
    <row r="34" spans="1:10" s="872" customFormat="1" ht="14.25" customHeight="1">
      <c r="A34" s="879" t="s">
        <v>523</v>
      </c>
      <c r="B34" s="880"/>
      <c r="C34" s="881"/>
      <c r="D34" s="1425"/>
      <c r="E34" s="880"/>
      <c r="F34" s="1102">
        <v>2</v>
      </c>
      <c r="G34" s="882">
        <v>2</v>
      </c>
      <c r="H34" s="1103"/>
      <c r="I34" s="1102">
        <v>2.82</v>
      </c>
      <c r="J34" s="1280">
        <v>2.82</v>
      </c>
    </row>
    <row r="35" spans="1:10" s="889" customFormat="1" ht="16.5" customHeight="1">
      <c r="A35" s="1109" t="s">
        <v>136</v>
      </c>
      <c r="B35" s="1096">
        <v>54.99</v>
      </c>
      <c r="C35" s="1096">
        <v>798.87199999999996</v>
      </c>
      <c r="D35" s="1107">
        <v>853.86199999999997</v>
      </c>
      <c r="E35" s="1096">
        <v>60.896999999999998</v>
      </c>
      <c r="F35" s="1096">
        <v>888.89600000000019</v>
      </c>
      <c r="G35" s="1108">
        <v>949.79300000000012</v>
      </c>
      <c r="H35" s="1108">
        <v>60.254329153000015</v>
      </c>
      <c r="I35" s="1096">
        <v>930.02136782299999</v>
      </c>
      <c r="J35" s="1283">
        <v>990.27569697599995</v>
      </c>
    </row>
    <row r="36" spans="1:10" s="872" customFormat="1" ht="14.25" customHeight="1">
      <c r="A36" s="879" t="s">
        <v>215</v>
      </c>
      <c r="B36" s="880">
        <v>5.7690000000000001</v>
      </c>
      <c r="C36" s="881">
        <v>0</v>
      </c>
      <c r="D36" s="1425">
        <v>5.7690000000000001</v>
      </c>
      <c r="E36" s="880">
        <v>5.9239999999999995</v>
      </c>
      <c r="F36" s="881"/>
      <c r="G36" s="882">
        <v>5.9239999999999995</v>
      </c>
      <c r="H36" s="1103">
        <v>6.2152678599999991</v>
      </c>
      <c r="I36" s="881"/>
      <c r="J36" s="1280">
        <v>6.2152678599999991</v>
      </c>
    </row>
    <row r="37" spans="1:10" s="872" customFormat="1" ht="14.25" customHeight="1">
      <c r="A37" s="879" t="s">
        <v>296</v>
      </c>
      <c r="B37" s="880"/>
      <c r="C37" s="881">
        <v>1</v>
      </c>
      <c r="D37" s="1425">
        <v>1</v>
      </c>
      <c r="E37" s="880"/>
      <c r="F37" s="881">
        <v>1</v>
      </c>
      <c r="G37" s="882">
        <v>1</v>
      </c>
      <c r="H37" s="1103"/>
      <c r="I37" s="881">
        <v>0.40744999999999998</v>
      </c>
      <c r="J37" s="1280">
        <v>0.40744999999999998</v>
      </c>
    </row>
    <row r="38" spans="1:10" s="872" customFormat="1" ht="14.25" customHeight="1">
      <c r="A38" s="879" t="s">
        <v>298</v>
      </c>
      <c r="B38" s="880"/>
      <c r="C38" s="881">
        <v>1.8009999999999999</v>
      </c>
      <c r="D38" s="1425">
        <v>1.8009999999999999</v>
      </c>
      <c r="E38" s="880"/>
      <c r="F38" s="881">
        <v>1.2929999999999999</v>
      </c>
      <c r="G38" s="882">
        <v>1.2929999999999999</v>
      </c>
      <c r="H38" s="1103"/>
      <c r="I38" s="881">
        <v>1.4882881799999998</v>
      </c>
      <c r="J38" s="1280">
        <v>1.4882881799999998</v>
      </c>
    </row>
    <row r="39" spans="1:10" s="872" customFormat="1" ht="14.25" customHeight="1">
      <c r="A39" s="883" t="s">
        <v>122</v>
      </c>
      <c r="B39" s="880"/>
      <c r="C39" s="1103">
        <v>0.68500000000000005</v>
      </c>
      <c r="D39" s="1425">
        <v>0.68500000000000005</v>
      </c>
      <c r="E39" s="880"/>
      <c r="F39" s="1103">
        <v>0.65100000000000002</v>
      </c>
      <c r="G39" s="882">
        <v>0.65100000000000002</v>
      </c>
      <c r="H39" s="1103"/>
      <c r="I39" s="1103">
        <v>0.30676300000000001</v>
      </c>
      <c r="J39" s="1280">
        <v>0.30676300000000001</v>
      </c>
    </row>
    <row r="40" spans="1:10" s="872" customFormat="1" ht="14.25" customHeight="1">
      <c r="A40" s="883" t="s">
        <v>297</v>
      </c>
      <c r="B40" s="880"/>
      <c r="C40" s="881">
        <v>3.36</v>
      </c>
      <c r="D40" s="1425">
        <v>3.36</v>
      </c>
      <c r="E40" s="880"/>
      <c r="F40" s="881">
        <v>3.92</v>
      </c>
      <c r="G40" s="882">
        <v>3.92</v>
      </c>
      <c r="H40" s="1103"/>
      <c r="I40" s="881">
        <v>3.9199976999999997</v>
      </c>
      <c r="J40" s="1280">
        <v>3.9199976999999997</v>
      </c>
    </row>
    <row r="41" spans="1:10" s="872" customFormat="1" ht="14.25" customHeight="1">
      <c r="A41" s="879" t="s">
        <v>142</v>
      </c>
      <c r="B41" s="880"/>
      <c r="C41" s="881">
        <v>0.193</v>
      </c>
      <c r="D41" s="1425">
        <v>0.193</v>
      </c>
      <c r="E41" s="880"/>
      <c r="F41" s="881">
        <v>0.14599999999999999</v>
      </c>
      <c r="G41" s="882">
        <v>0.14599999999999999</v>
      </c>
      <c r="H41" s="1103"/>
      <c r="I41" s="881">
        <v>0.11782000000000001</v>
      </c>
      <c r="J41" s="1280">
        <v>0.11782000000000001</v>
      </c>
    </row>
    <row r="42" spans="1:10" s="872" customFormat="1" ht="14.25" customHeight="1">
      <c r="A42" s="879" t="s">
        <v>247</v>
      </c>
      <c r="B42" s="880"/>
      <c r="C42" s="881">
        <v>16.312000000000001</v>
      </c>
      <c r="D42" s="1425">
        <v>16.312000000000001</v>
      </c>
      <c r="E42" s="880"/>
      <c r="F42" s="881">
        <v>18.276</v>
      </c>
      <c r="G42" s="882">
        <v>18.276</v>
      </c>
      <c r="H42" s="1103"/>
      <c r="I42" s="881">
        <v>18.118747900000002</v>
      </c>
      <c r="J42" s="1280">
        <v>18.118747900000002</v>
      </c>
    </row>
    <row r="43" spans="1:10" s="872" customFormat="1" ht="14.25" customHeight="1">
      <c r="A43" s="879" t="s">
        <v>305</v>
      </c>
      <c r="B43" s="880"/>
      <c r="C43" s="881">
        <v>0.35199999999999998</v>
      </c>
      <c r="D43" s="1425">
        <v>0.35199999999999998</v>
      </c>
      <c r="E43" s="880"/>
      <c r="F43" s="881">
        <v>0.32900000000000001</v>
      </c>
      <c r="G43" s="882">
        <v>0.32900000000000001</v>
      </c>
      <c r="H43" s="1103"/>
      <c r="I43" s="881">
        <v>0.30299999999999999</v>
      </c>
      <c r="J43" s="1280">
        <v>0.30299999999999999</v>
      </c>
    </row>
    <row r="44" spans="1:10" s="872" customFormat="1" ht="14.25" customHeight="1">
      <c r="A44" s="879" t="s">
        <v>227</v>
      </c>
      <c r="B44" s="880"/>
      <c r="C44" s="881">
        <v>0.18099999999999999</v>
      </c>
      <c r="D44" s="1425">
        <v>0.18099999999999999</v>
      </c>
      <c r="E44" s="880"/>
      <c r="F44" s="881">
        <v>1E-3</v>
      </c>
      <c r="G44" s="882">
        <v>1E-3</v>
      </c>
      <c r="H44" s="1103"/>
      <c r="I44" s="881">
        <v>0</v>
      </c>
      <c r="J44" s="1280">
        <v>0</v>
      </c>
    </row>
    <row r="45" spans="1:10" s="872" customFormat="1" ht="14.25" customHeight="1">
      <c r="A45" s="883" t="s">
        <v>324</v>
      </c>
      <c r="B45" s="880"/>
      <c r="C45" s="881">
        <v>1.2</v>
      </c>
      <c r="D45" s="1425">
        <v>1.2</v>
      </c>
      <c r="E45" s="880"/>
      <c r="F45" s="881">
        <v>0.95</v>
      </c>
      <c r="G45" s="882">
        <v>0.95</v>
      </c>
      <c r="H45" s="1103"/>
      <c r="I45" s="881">
        <v>0.54655600000000004</v>
      </c>
      <c r="J45" s="1280">
        <v>0.54655600000000004</v>
      </c>
    </row>
    <row r="46" spans="1:10" s="872" customFormat="1" ht="14.25" customHeight="1">
      <c r="A46" s="883" t="s">
        <v>248</v>
      </c>
      <c r="B46" s="880"/>
      <c r="C46" s="881">
        <v>0.2</v>
      </c>
      <c r="D46" s="1425">
        <v>0.2</v>
      </c>
      <c r="E46" s="880"/>
      <c r="F46" s="881">
        <v>0.105</v>
      </c>
      <c r="G46" s="882">
        <v>0.105</v>
      </c>
      <c r="H46" s="1103"/>
      <c r="I46" s="881">
        <v>4.1113999999999998E-2</v>
      </c>
      <c r="J46" s="1280">
        <v>4.1113999999999998E-2</v>
      </c>
    </row>
    <row r="47" spans="1:10" s="872" customFormat="1" ht="14.25" customHeight="1">
      <c r="A47" s="883" t="s">
        <v>212</v>
      </c>
      <c r="B47" s="880"/>
      <c r="C47" s="881">
        <v>1.2</v>
      </c>
      <c r="D47" s="1425">
        <v>1.2</v>
      </c>
      <c r="E47" s="880"/>
      <c r="F47" s="881">
        <v>1.44</v>
      </c>
      <c r="G47" s="882">
        <v>1.44</v>
      </c>
      <c r="H47" s="1103"/>
      <c r="I47" s="881">
        <v>1.6799980399999999</v>
      </c>
      <c r="J47" s="1280">
        <v>1.6799980399999999</v>
      </c>
    </row>
    <row r="48" spans="1:10" s="872" customFormat="1" ht="14.25" customHeight="1">
      <c r="A48" s="883" t="s">
        <v>155</v>
      </c>
      <c r="B48" s="880"/>
      <c r="C48" s="881">
        <v>6</v>
      </c>
      <c r="D48" s="1425">
        <v>6</v>
      </c>
      <c r="E48" s="880"/>
      <c r="F48" s="881">
        <v>7.907</v>
      </c>
      <c r="G48" s="882">
        <v>7.907</v>
      </c>
      <c r="H48" s="1103"/>
      <c r="I48" s="881">
        <v>13.447399999999998</v>
      </c>
      <c r="J48" s="1280">
        <v>13.447399999999998</v>
      </c>
    </row>
    <row r="49" spans="1:10" s="872" customFormat="1" ht="14.25" customHeight="1">
      <c r="A49" s="883" t="s">
        <v>420</v>
      </c>
      <c r="B49" s="880"/>
      <c r="C49" s="881">
        <v>0.35899999999999999</v>
      </c>
      <c r="D49" s="1425">
        <v>0.35899999999999999</v>
      </c>
      <c r="E49" s="880"/>
      <c r="F49" s="881">
        <v>0.75</v>
      </c>
      <c r="G49" s="882">
        <v>0.75</v>
      </c>
      <c r="H49" s="1103"/>
      <c r="I49" s="881">
        <v>0.11956399999999999</v>
      </c>
      <c r="J49" s="1280">
        <v>0.11956399999999999</v>
      </c>
    </row>
    <row r="50" spans="1:10" s="872" customFormat="1" ht="14.25" customHeight="1">
      <c r="A50" s="883" t="str">
        <f>'[4]2.12'!B66</f>
        <v>Vedanta</v>
      </c>
      <c r="B50" s="880"/>
      <c r="C50" s="881">
        <v>0.69299999999999995</v>
      </c>
      <c r="D50" s="1425">
        <v>0.69299999999999995</v>
      </c>
      <c r="E50" s="880"/>
      <c r="F50" s="881">
        <v>2.1259999999999999</v>
      </c>
      <c r="G50" s="882">
        <v>2.1259999999999999</v>
      </c>
      <c r="H50" s="1103"/>
      <c r="I50" s="881">
        <v>2.0846799999999996</v>
      </c>
      <c r="J50" s="1280">
        <v>2.0846799999999996</v>
      </c>
    </row>
    <row r="51" spans="1:10" s="872" customFormat="1" ht="14.25" customHeight="1">
      <c r="A51" s="883" t="s">
        <v>475</v>
      </c>
      <c r="B51" s="880"/>
      <c r="C51" s="881">
        <v>2.4E-2</v>
      </c>
      <c r="D51" s="1425">
        <v>2.4E-2</v>
      </c>
      <c r="E51" s="880"/>
      <c r="F51" s="881">
        <v>0.3</v>
      </c>
      <c r="G51" s="882">
        <v>0.3</v>
      </c>
      <c r="H51" s="1103"/>
      <c r="I51" s="881">
        <v>0.25005500000000003</v>
      </c>
      <c r="J51" s="1280">
        <v>0.25005500000000003</v>
      </c>
    </row>
    <row r="52" spans="1:10" s="872" customFormat="1" ht="14.25" customHeight="1">
      <c r="A52" s="883" t="s">
        <v>48</v>
      </c>
      <c r="B52" s="880"/>
      <c r="C52" s="881"/>
      <c r="D52" s="1425"/>
      <c r="E52" s="880"/>
      <c r="F52" s="881">
        <v>2.83</v>
      </c>
      <c r="G52" s="882">
        <v>2.83</v>
      </c>
      <c r="H52" s="1103"/>
      <c r="I52" s="881">
        <v>7.3678528600000011</v>
      </c>
      <c r="J52" s="1280">
        <v>7.3678528600000011</v>
      </c>
    </row>
    <row r="53" spans="1:10" s="872" customFormat="1" ht="14.25" customHeight="1">
      <c r="A53" s="883" t="s">
        <v>514</v>
      </c>
      <c r="B53" s="880"/>
      <c r="C53" s="881"/>
      <c r="D53" s="1425"/>
      <c r="E53" s="880"/>
      <c r="F53" s="881">
        <v>8.5000000000000006E-2</v>
      </c>
      <c r="G53" s="882">
        <v>8.5000000000000006E-2</v>
      </c>
      <c r="H53" s="1103"/>
      <c r="I53" s="881">
        <v>0.74999983000000003</v>
      </c>
      <c r="J53" s="1280">
        <v>0.74999983000000003</v>
      </c>
    </row>
    <row r="54" spans="1:10" s="872" customFormat="1" ht="14.25" customHeight="1">
      <c r="A54" s="883" t="s">
        <v>540</v>
      </c>
      <c r="B54" s="880"/>
      <c r="C54" s="881"/>
      <c r="D54" s="1425"/>
      <c r="E54" s="880"/>
      <c r="F54" s="881"/>
      <c r="G54" s="882"/>
      <c r="H54" s="1103"/>
      <c r="I54" s="881">
        <v>5.9919999999999999E-3</v>
      </c>
      <c r="J54" s="1280">
        <v>5.9919999999999999E-3</v>
      </c>
    </row>
    <row r="55" spans="1:10" s="872" customFormat="1" ht="14.25" customHeight="1">
      <c r="A55" s="883" t="s">
        <v>129</v>
      </c>
      <c r="B55" s="880"/>
      <c r="C55" s="881"/>
      <c r="D55" s="1425"/>
      <c r="E55" s="880"/>
      <c r="F55" s="881"/>
      <c r="G55" s="882"/>
      <c r="H55" s="1103"/>
      <c r="I55" s="881">
        <v>7.6351000000000002E-2</v>
      </c>
      <c r="J55" s="1280">
        <v>7.6351000000000002E-2</v>
      </c>
    </row>
    <row r="56" spans="1:10" s="872" customFormat="1" ht="16.5" customHeight="1">
      <c r="A56" s="1110" t="s">
        <v>100</v>
      </c>
      <c r="B56" s="1113">
        <v>5.7690000000000001</v>
      </c>
      <c r="C56" s="1096">
        <v>33.559999999999995</v>
      </c>
      <c r="D56" s="1111">
        <v>39.329000000000001</v>
      </c>
      <c r="E56" s="1113">
        <v>5.9239999999999995</v>
      </c>
      <c r="F56" s="1096">
        <v>42.108999999999995</v>
      </c>
      <c r="G56" s="1112">
        <v>48.032999999999987</v>
      </c>
      <c r="H56" s="1105">
        <v>6.2152678599999991</v>
      </c>
      <c r="I56" s="1096">
        <v>51.031629510000002</v>
      </c>
      <c r="J56" s="1284">
        <v>57.246897370000006</v>
      </c>
    </row>
    <row r="57" spans="1:10" s="889" customFormat="1" ht="16.5" customHeight="1" thickBot="1">
      <c r="A57" s="1114" t="s">
        <v>141</v>
      </c>
      <c r="B57" s="1117">
        <v>60.759</v>
      </c>
      <c r="C57" s="1117">
        <v>832.4319999999999</v>
      </c>
      <c r="D57" s="1115">
        <v>893.19099999999992</v>
      </c>
      <c r="E57" s="1117">
        <v>66.820999999999998</v>
      </c>
      <c r="F57" s="1117">
        <v>931.00500000000022</v>
      </c>
      <c r="G57" s="1116">
        <v>997.82600000000014</v>
      </c>
      <c r="H57" s="1285">
        <v>66.469597013000012</v>
      </c>
      <c r="I57" s="1117">
        <v>981.05299733300001</v>
      </c>
      <c r="J57" s="1286">
        <v>1047.522594346</v>
      </c>
    </row>
    <row r="58" spans="1:10" ht="13.5" thickTop="1"/>
  </sheetData>
  <mergeCells count="6">
    <mergeCell ref="E3:G3"/>
    <mergeCell ref="B3:D3"/>
    <mergeCell ref="H3:J3"/>
    <mergeCell ref="A2:J2"/>
    <mergeCell ref="A1:J1"/>
    <mergeCell ref="A3:A4"/>
  </mergeCells>
  <printOptions horizontalCentered="1"/>
  <pageMargins left="0.39370078740157483" right="0.39370078740157483" top="0.57999999999999996" bottom="0.35433070866141736" header="0.19685039370078741" footer="0.19685039370078741"/>
  <pageSetup paperSize="9" scale="75" firstPageNumber="15" orientation="portrait" useFirstPageNumber="1" r:id="rId1"/>
  <headerFooter scaleWithDoc="0" alignWithMargins="0"/>
  <colBreaks count="1" manualBreakCount="1">
    <brk id="10" max="5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rgb="FF00B050"/>
  </sheetPr>
  <dimension ref="A1:O83"/>
  <sheetViews>
    <sheetView zoomScaleNormal="100" zoomScaleSheetLayoutView="115" workbookViewId="0">
      <pane xSplit="1" ySplit="5" topLeftCell="B7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Q85" sqref="Q85"/>
    </sheetView>
  </sheetViews>
  <sheetFormatPr defaultColWidth="9.140625" defaultRowHeight="12.75"/>
  <cols>
    <col min="1" max="1" width="15.7109375" style="872" customWidth="1"/>
    <col min="2" max="2" width="13.5703125" style="927" bestFit="1" customWidth="1"/>
    <col min="3" max="4" width="6.85546875" style="872" customWidth="1"/>
    <col min="5" max="5" width="7" style="872" customWidth="1"/>
    <col min="6" max="7" width="6.85546875" style="872" customWidth="1"/>
    <col min="8" max="8" width="7" style="872" customWidth="1"/>
    <col min="9" max="10" width="6.85546875" style="1228" customWidth="1"/>
    <col min="11" max="11" width="7.85546875" style="1228" customWidth="1"/>
    <col min="12" max="12" width="1" style="927" hidden="1" customWidth="1"/>
    <col min="13" max="13" width="9.140625" style="872" customWidth="1"/>
    <col min="14" max="14" width="0" style="872" hidden="1" customWidth="1"/>
    <col min="15" max="16384" width="9.140625" style="872"/>
  </cols>
  <sheetData>
    <row r="1" spans="1:15" ht="19.5" customHeight="1">
      <c r="A1" s="1679" t="s">
        <v>489</v>
      </c>
      <c r="B1" s="1680"/>
      <c r="C1" s="1680"/>
      <c r="D1" s="1680"/>
      <c r="E1" s="1680"/>
      <c r="F1" s="1680"/>
      <c r="G1" s="1680"/>
      <c r="H1" s="1680"/>
      <c r="I1" s="1680"/>
      <c r="J1" s="1680"/>
      <c r="K1" s="1681"/>
      <c r="L1" s="872"/>
    </row>
    <row r="2" spans="1:15" ht="15.6" customHeight="1">
      <c r="A2" s="1676" t="s">
        <v>417</v>
      </c>
      <c r="B2" s="1677"/>
      <c r="C2" s="1677"/>
      <c r="D2" s="1677"/>
      <c r="E2" s="1677"/>
      <c r="F2" s="1677"/>
      <c r="G2" s="1677"/>
      <c r="H2" s="1677"/>
      <c r="I2" s="1677"/>
      <c r="J2" s="1677"/>
      <c r="K2" s="1678"/>
      <c r="L2" s="872"/>
    </row>
    <row r="3" spans="1:15" ht="15" customHeight="1">
      <c r="A3" s="1682" t="s">
        <v>318</v>
      </c>
      <c r="B3" s="1684" t="s">
        <v>317</v>
      </c>
      <c r="C3" s="1674" t="s">
        <v>431</v>
      </c>
      <c r="D3" s="1674"/>
      <c r="E3" s="1686"/>
      <c r="F3" s="1674" t="s">
        <v>504</v>
      </c>
      <c r="G3" s="1674"/>
      <c r="H3" s="1686"/>
      <c r="I3" s="1674" t="s">
        <v>538</v>
      </c>
      <c r="J3" s="1674"/>
      <c r="K3" s="1675"/>
      <c r="L3" s="894"/>
    </row>
    <row r="4" spans="1:15" s="874" customFormat="1" ht="27.75" customHeight="1">
      <c r="A4" s="1683"/>
      <c r="B4" s="1685"/>
      <c r="C4" s="1183" t="s">
        <v>107</v>
      </c>
      <c r="D4" s="1181" t="s">
        <v>503</v>
      </c>
      <c r="E4" s="1182" t="s">
        <v>76</v>
      </c>
      <c r="F4" s="1183" t="s">
        <v>107</v>
      </c>
      <c r="G4" s="1181" t="s">
        <v>503</v>
      </c>
      <c r="H4" s="1182" t="s">
        <v>76</v>
      </c>
      <c r="I4" s="1183" t="s">
        <v>107</v>
      </c>
      <c r="J4" s="1181" t="s">
        <v>503</v>
      </c>
      <c r="K4" s="1184" t="s">
        <v>76</v>
      </c>
      <c r="L4" s="895"/>
    </row>
    <row r="5" spans="1:15" s="874" customFormat="1" ht="15" customHeight="1">
      <c r="A5" s="1093" t="s">
        <v>162</v>
      </c>
      <c r="B5" s="1005" t="s">
        <v>163</v>
      </c>
      <c r="C5" s="1005" t="s">
        <v>164</v>
      </c>
      <c r="D5" s="1018" t="s">
        <v>165</v>
      </c>
      <c r="E5" s="1005" t="s">
        <v>166</v>
      </c>
      <c r="F5" s="1005" t="s">
        <v>167</v>
      </c>
      <c r="G5" s="1018" t="s">
        <v>168</v>
      </c>
      <c r="H5" s="1005" t="s">
        <v>169</v>
      </c>
      <c r="I5" s="1094" t="s">
        <v>170</v>
      </c>
      <c r="J5" s="1018" t="s">
        <v>171</v>
      </c>
      <c r="K5" s="1005" t="s">
        <v>172</v>
      </c>
      <c r="L5" s="896" t="s">
        <v>543</v>
      </c>
    </row>
    <row r="6" spans="1:15" s="889" customFormat="1" ht="14.1" customHeight="1">
      <c r="A6" s="897" t="s">
        <v>110</v>
      </c>
      <c r="B6" s="898" t="s">
        <v>44</v>
      </c>
      <c r="C6" s="1087"/>
      <c r="D6" s="901">
        <v>0.2</v>
      </c>
      <c r="E6" s="902">
        <f t="shared" ref="E6:E14" si="0">C6+D6</f>
        <v>0.2</v>
      </c>
      <c r="F6" s="1087"/>
      <c r="G6" s="901">
        <v>0.2</v>
      </c>
      <c r="H6" s="902">
        <v>0.2</v>
      </c>
      <c r="I6" s="1087">
        <v>0</v>
      </c>
      <c r="J6" s="901">
        <v>0.2</v>
      </c>
      <c r="K6" s="1287">
        <v>0.2</v>
      </c>
      <c r="L6" s="903" t="s">
        <v>325</v>
      </c>
      <c r="M6" s="888"/>
    </row>
    <row r="7" spans="1:15" ht="14.1" customHeight="1">
      <c r="A7" s="1669" t="s">
        <v>111</v>
      </c>
      <c r="B7" s="904" t="s">
        <v>42</v>
      </c>
      <c r="C7" s="1088">
        <v>0.247</v>
      </c>
      <c r="D7" s="905">
        <v>154.81700000000001</v>
      </c>
      <c r="E7" s="906">
        <f t="shared" si="0"/>
        <v>155.06400000000002</v>
      </c>
      <c r="F7" s="1088">
        <v>0.216</v>
      </c>
      <c r="G7" s="905">
        <v>175.06399999999999</v>
      </c>
      <c r="H7" s="906">
        <v>175.28</v>
      </c>
      <c r="I7" s="1088">
        <v>0.22267000000000001</v>
      </c>
      <c r="J7" s="905">
        <v>152.91012792000001</v>
      </c>
      <c r="K7" s="1288">
        <v>153.13279792</v>
      </c>
      <c r="L7" s="903" t="s">
        <v>325</v>
      </c>
      <c r="M7" s="888"/>
      <c r="O7" s="889"/>
    </row>
    <row r="8" spans="1:15" ht="14.1" customHeight="1">
      <c r="A8" s="1670"/>
      <c r="B8" s="907" t="s">
        <v>294</v>
      </c>
      <c r="C8" s="1089"/>
      <c r="D8" s="908">
        <v>2.0510000000000002</v>
      </c>
      <c r="E8" s="909">
        <f t="shared" si="0"/>
        <v>2.0510000000000002</v>
      </c>
      <c r="F8" s="1089"/>
      <c r="G8" s="908">
        <v>0.16</v>
      </c>
      <c r="H8" s="909">
        <v>0.16</v>
      </c>
      <c r="I8" s="1089"/>
      <c r="J8" s="908"/>
      <c r="K8" s="1289">
        <v>0</v>
      </c>
      <c r="L8" s="903" t="s">
        <v>325</v>
      </c>
      <c r="M8" s="888"/>
      <c r="O8" s="889"/>
    </row>
    <row r="9" spans="1:15" ht="14.1" hidden="1" customHeight="1">
      <c r="A9" s="1670"/>
      <c r="B9" s="907" t="s">
        <v>302</v>
      </c>
      <c r="C9" s="1089"/>
      <c r="D9" s="908">
        <v>0</v>
      </c>
      <c r="E9" s="909">
        <f t="shared" si="0"/>
        <v>0</v>
      </c>
      <c r="F9" s="1089"/>
      <c r="G9" s="908">
        <v>0</v>
      </c>
      <c r="H9" s="909">
        <v>0</v>
      </c>
      <c r="I9" s="1089"/>
      <c r="J9" s="908"/>
      <c r="K9" s="1289">
        <v>0</v>
      </c>
      <c r="L9" s="903" t="s">
        <v>325</v>
      </c>
      <c r="M9" s="888"/>
      <c r="O9" s="889"/>
    </row>
    <row r="10" spans="1:15" ht="14.1" customHeight="1">
      <c r="A10" s="1670"/>
      <c r="B10" s="907" t="s">
        <v>263</v>
      </c>
      <c r="C10" s="1089"/>
      <c r="D10" s="908">
        <v>11.801</v>
      </c>
      <c r="E10" s="909">
        <f t="shared" si="0"/>
        <v>11.801</v>
      </c>
      <c r="F10" s="1089"/>
      <c r="G10" s="908">
        <v>6.7009999999999996</v>
      </c>
      <c r="H10" s="909">
        <v>6.7009999999999996</v>
      </c>
      <c r="I10" s="1089"/>
      <c r="J10" s="908">
        <v>16.323368300000002</v>
      </c>
      <c r="K10" s="1289">
        <v>16.323368300000002</v>
      </c>
      <c r="L10" s="903" t="s">
        <v>325</v>
      </c>
      <c r="M10" s="888"/>
      <c r="O10" s="889"/>
    </row>
    <row r="11" spans="1:15" ht="14.1" customHeight="1">
      <c r="A11" s="1670"/>
      <c r="B11" s="907" t="s">
        <v>335</v>
      </c>
      <c r="C11" s="1089"/>
      <c r="D11" s="908">
        <v>3.617</v>
      </c>
      <c r="E11" s="909">
        <f t="shared" si="0"/>
        <v>3.617</v>
      </c>
      <c r="F11" s="1089"/>
      <c r="G11" s="908">
        <v>4.0030000000000001</v>
      </c>
      <c r="H11" s="909">
        <v>4.0030000000000001</v>
      </c>
      <c r="I11" s="1089"/>
      <c r="J11" s="908">
        <v>3.9999939999999996</v>
      </c>
      <c r="K11" s="1289">
        <v>3.9999939999999996</v>
      </c>
      <c r="L11" s="903" t="s">
        <v>325</v>
      </c>
      <c r="M11" s="888"/>
      <c r="O11" s="889"/>
    </row>
    <row r="12" spans="1:15" ht="14.1" customHeight="1">
      <c r="A12" s="1670"/>
      <c r="B12" s="907" t="s">
        <v>516</v>
      </c>
      <c r="C12" s="1089"/>
      <c r="D12" s="908">
        <v>2.4020000000000001</v>
      </c>
      <c r="E12" s="909">
        <f t="shared" si="0"/>
        <v>2.4020000000000001</v>
      </c>
      <c r="F12" s="1089"/>
      <c r="G12" s="908">
        <v>7.5430000000000001</v>
      </c>
      <c r="H12" s="909">
        <v>7.5430000000000001</v>
      </c>
      <c r="I12" s="1089"/>
      <c r="J12" s="908">
        <v>11.03201048</v>
      </c>
      <c r="K12" s="1289">
        <v>11.03201048</v>
      </c>
      <c r="L12" s="903" t="s">
        <v>325</v>
      </c>
      <c r="M12" s="888"/>
      <c r="O12" s="889"/>
    </row>
    <row r="13" spans="1:15" ht="14.1" customHeight="1">
      <c r="A13" s="1670"/>
      <c r="B13" s="907" t="s">
        <v>324</v>
      </c>
      <c r="C13" s="1089"/>
      <c r="D13" s="908">
        <v>1.2</v>
      </c>
      <c r="E13" s="909">
        <f t="shared" si="0"/>
        <v>1.2</v>
      </c>
      <c r="F13" s="1089"/>
      <c r="G13" s="908">
        <v>0.95</v>
      </c>
      <c r="H13" s="909">
        <v>0.95</v>
      </c>
      <c r="I13" s="1089"/>
      <c r="J13" s="908">
        <v>0.54655600000000004</v>
      </c>
      <c r="K13" s="1289">
        <v>0.54655600000000004</v>
      </c>
      <c r="L13" s="903" t="s">
        <v>326</v>
      </c>
      <c r="M13" s="910"/>
      <c r="O13" s="889"/>
    </row>
    <row r="14" spans="1:15" ht="14.1" customHeight="1">
      <c r="A14" s="1670"/>
      <c r="B14" s="907" t="s">
        <v>508</v>
      </c>
      <c r="C14" s="1089"/>
      <c r="D14" s="908">
        <v>6</v>
      </c>
      <c r="E14" s="909">
        <f t="shared" si="0"/>
        <v>6</v>
      </c>
      <c r="F14" s="1089"/>
      <c r="G14" s="908">
        <v>7.1950000000000003</v>
      </c>
      <c r="H14" s="909">
        <v>7.1950000000000003</v>
      </c>
      <c r="I14" s="1089"/>
      <c r="J14" s="908">
        <v>7.1980699999999995</v>
      </c>
      <c r="K14" s="1289">
        <v>7.1980699999999995</v>
      </c>
      <c r="L14" s="903" t="s">
        <v>326</v>
      </c>
      <c r="M14" s="888"/>
      <c r="O14" s="889"/>
    </row>
    <row r="15" spans="1:15" ht="14.1" customHeight="1">
      <c r="A15" s="1670"/>
      <c r="B15" s="907" t="s">
        <v>509</v>
      </c>
      <c r="C15" s="1089"/>
      <c r="D15" s="908"/>
      <c r="E15" s="909"/>
      <c r="F15" s="1089"/>
      <c r="G15" s="908">
        <v>0.71199999999999997</v>
      </c>
      <c r="H15" s="909">
        <v>0.71199999999999997</v>
      </c>
      <c r="I15" s="1089"/>
      <c r="J15" s="908">
        <v>6.2493299999999996</v>
      </c>
      <c r="K15" s="1289">
        <v>6.2493299999999996</v>
      </c>
      <c r="L15" s="903" t="s">
        <v>326</v>
      </c>
      <c r="M15" s="888"/>
      <c r="O15" s="889"/>
    </row>
    <row r="16" spans="1:15" ht="14.1" customHeight="1">
      <c r="A16" s="1670"/>
      <c r="B16" s="907" t="s">
        <v>303</v>
      </c>
      <c r="C16" s="1089"/>
      <c r="D16" s="908">
        <v>0.56000000000000005</v>
      </c>
      <c r="E16" s="909">
        <f>C16+D16</f>
        <v>0.56000000000000005</v>
      </c>
      <c r="F16" s="1089"/>
      <c r="G16" s="908">
        <v>0.46800000000000003</v>
      </c>
      <c r="H16" s="909">
        <v>0.46800000000000003</v>
      </c>
      <c r="I16" s="1089"/>
      <c r="J16" s="908">
        <v>0.30676300000000001</v>
      </c>
      <c r="K16" s="1289">
        <v>0.30676300000000001</v>
      </c>
      <c r="L16" s="903" t="s">
        <v>326</v>
      </c>
      <c r="M16" s="888"/>
      <c r="O16" s="889"/>
    </row>
    <row r="17" spans="1:15" ht="14.1" customHeight="1">
      <c r="A17" s="1670"/>
      <c r="B17" s="907" t="s">
        <v>212</v>
      </c>
      <c r="C17" s="1089"/>
      <c r="D17" s="908">
        <v>1.2</v>
      </c>
      <c r="E17" s="909">
        <f>C17+D17</f>
        <v>1.2</v>
      </c>
      <c r="F17" s="1089"/>
      <c r="G17" s="908">
        <v>1.44</v>
      </c>
      <c r="H17" s="909">
        <v>1.44</v>
      </c>
      <c r="I17" s="1089"/>
      <c r="J17" s="908">
        <v>1.6799980399999999</v>
      </c>
      <c r="K17" s="1289">
        <v>1.6799980399999999</v>
      </c>
      <c r="L17" s="903" t="s">
        <v>326</v>
      </c>
      <c r="O17" s="889"/>
    </row>
    <row r="18" spans="1:15" ht="14.1" customHeight="1">
      <c r="A18" s="1670"/>
      <c r="B18" s="907" t="s">
        <v>296</v>
      </c>
      <c r="C18" s="1089"/>
      <c r="D18" s="908">
        <v>1</v>
      </c>
      <c r="E18" s="909">
        <f>C18+D18</f>
        <v>1</v>
      </c>
      <c r="F18" s="1089"/>
      <c r="G18" s="908">
        <v>1</v>
      </c>
      <c r="H18" s="909">
        <v>1</v>
      </c>
      <c r="I18" s="1089"/>
      <c r="J18" s="908">
        <v>0.40744999999999998</v>
      </c>
      <c r="K18" s="1289">
        <v>0.40744999999999998</v>
      </c>
      <c r="L18" s="903" t="s">
        <v>326</v>
      </c>
      <c r="O18" s="889"/>
    </row>
    <row r="19" spans="1:15" ht="14.1" customHeight="1">
      <c r="A19" s="1670"/>
      <c r="B19" s="907" t="s">
        <v>510</v>
      </c>
      <c r="C19" s="1089"/>
      <c r="D19" s="908"/>
      <c r="E19" s="909"/>
      <c r="F19" s="1089"/>
      <c r="G19" s="908">
        <v>1.8029999999999999</v>
      </c>
      <c r="H19" s="909">
        <v>1.8029999999999999</v>
      </c>
      <c r="I19" s="1089"/>
      <c r="J19" s="908">
        <v>3.9999850000000001</v>
      </c>
      <c r="K19" s="1289">
        <v>3.9999850000000001</v>
      </c>
      <c r="L19" s="903" t="s">
        <v>326</v>
      </c>
      <c r="O19" s="889"/>
    </row>
    <row r="20" spans="1:15" ht="14.1" customHeight="1">
      <c r="A20" s="1670"/>
      <c r="B20" s="907" t="s">
        <v>129</v>
      </c>
      <c r="C20" s="1092"/>
      <c r="D20" s="919"/>
      <c r="E20" s="920"/>
      <c r="F20" s="1092"/>
      <c r="G20" s="919"/>
      <c r="H20" s="920"/>
      <c r="I20" s="1092"/>
      <c r="J20" s="919">
        <v>7.6351000000000002E-2</v>
      </c>
      <c r="K20" s="1293">
        <v>7.6351000000000002E-2</v>
      </c>
      <c r="L20" s="903" t="s">
        <v>326</v>
      </c>
      <c r="O20" s="889"/>
    </row>
    <row r="21" spans="1:15" s="889" customFormat="1" ht="14.1" customHeight="1">
      <c r="A21" s="1671"/>
      <c r="B21" s="911" t="s">
        <v>76</v>
      </c>
      <c r="C21" s="913">
        <f>SUM(C7:C20)</f>
        <v>0.247</v>
      </c>
      <c r="D21" s="913">
        <f>SUM(D7:D20)</f>
        <v>184.64799999999994</v>
      </c>
      <c r="E21" s="915">
        <f>C21+D21</f>
        <v>184.89499999999995</v>
      </c>
      <c r="F21" s="913">
        <v>0.216</v>
      </c>
      <c r="G21" s="913">
        <v>207.03899999999996</v>
      </c>
      <c r="H21" s="915">
        <v>207.25499999999997</v>
      </c>
      <c r="I21" s="913">
        <v>0.22267000000000001</v>
      </c>
      <c r="J21" s="913">
        <v>204.73000373999997</v>
      </c>
      <c r="K21" s="1290">
        <v>204.95267373999997</v>
      </c>
      <c r="L21" s="903"/>
    </row>
    <row r="22" spans="1:15" s="889" customFormat="1" ht="14.1" customHeight="1">
      <c r="A22" s="897" t="s">
        <v>137</v>
      </c>
      <c r="B22" s="898" t="s">
        <v>51</v>
      </c>
      <c r="C22" s="899"/>
      <c r="D22" s="899">
        <v>0.01</v>
      </c>
      <c r="E22" s="900">
        <f t="shared" ref="E22:E48" si="1">C22+D22</f>
        <v>0.01</v>
      </c>
      <c r="F22" s="899"/>
      <c r="G22" s="899">
        <v>8.0000000000000002E-3</v>
      </c>
      <c r="H22" s="900">
        <v>8.0000000000000002E-3</v>
      </c>
      <c r="I22" s="899">
        <v>0</v>
      </c>
      <c r="J22" s="899">
        <v>1.0232E-2</v>
      </c>
      <c r="K22" s="1291">
        <v>1.0232E-2</v>
      </c>
      <c r="L22" s="903" t="s">
        <v>325</v>
      </c>
    </row>
    <row r="23" spans="1:15" ht="14.1" customHeight="1">
      <c r="A23" s="1669" t="s">
        <v>112</v>
      </c>
      <c r="B23" s="904" t="s">
        <v>37</v>
      </c>
      <c r="C23" s="1089">
        <v>7.0000000000000001E-3</v>
      </c>
      <c r="D23" s="908">
        <v>8.298</v>
      </c>
      <c r="E23" s="909">
        <f t="shared" si="1"/>
        <v>8.3049999999999997</v>
      </c>
      <c r="F23" s="1089">
        <v>1.2E-2</v>
      </c>
      <c r="G23" s="908">
        <v>17.387</v>
      </c>
      <c r="H23" s="909">
        <v>17.399000000000001</v>
      </c>
      <c r="I23" s="1089">
        <v>1.7071296E-2</v>
      </c>
      <c r="J23" s="908">
        <v>21.315102340000003</v>
      </c>
      <c r="K23" s="1289">
        <v>21.332173636000004</v>
      </c>
      <c r="L23" s="903" t="s">
        <v>325</v>
      </c>
      <c r="O23" s="889"/>
    </row>
    <row r="24" spans="1:15" ht="14.1" customHeight="1">
      <c r="A24" s="1670"/>
      <c r="B24" s="907" t="s">
        <v>38</v>
      </c>
      <c r="C24" s="1089">
        <v>33.716000000000001</v>
      </c>
      <c r="D24" s="908">
        <v>2.4630000000000001</v>
      </c>
      <c r="E24" s="909">
        <f t="shared" si="1"/>
        <v>36.179000000000002</v>
      </c>
      <c r="F24" s="1089">
        <v>39.109000000000002</v>
      </c>
      <c r="G24" s="908">
        <v>1.9870000000000001</v>
      </c>
      <c r="H24" s="909">
        <v>41.096000000000004</v>
      </c>
      <c r="I24" s="1089">
        <v>38.758339602</v>
      </c>
      <c r="J24" s="908">
        <v>1.6140080000000001</v>
      </c>
      <c r="K24" s="1289">
        <v>40.372347601999998</v>
      </c>
      <c r="L24" s="903" t="s">
        <v>325</v>
      </c>
      <c r="O24" s="889"/>
    </row>
    <row r="25" spans="1:15" ht="14.1" customHeight="1">
      <c r="A25" s="1670"/>
      <c r="B25" s="907" t="s">
        <v>39</v>
      </c>
      <c r="C25" s="1089">
        <v>20.553999999999998</v>
      </c>
      <c r="D25" s="908">
        <v>55.533000000000001</v>
      </c>
      <c r="E25" s="909">
        <f t="shared" si="1"/>
        <v>76.087000000000003</v>
      </c>
      <c r="F25" s="1089">
        <v>21.06</v>
      </c>
      <c r="G25" s="908">
        <v>64.994</v>
      </c>
      <c r="H25" s="909">
        <v>86.054000000000002</v>
      </c>
      <c r="I25" s="1089">
        <v>20.539223975000002</v>
      </c>
      <c r="J25" s="908">
        <v>66.997694780000003</v>
      </c>
      <c r="K25" s="1289">
        <v>87.536918755000002</v>
      </c>
      <c r="L25" s="903" t="s">
        <v>325</v>
      </c>
      <c r="O25" s="889"/>
    </row>
    <row r="26" spans="1:15" ht="14.1" customHeight="1">
      <c r="A26" s="1670"/>
      <c r="B26" s="907" t="s">
        <v>94</v>
      </c>
      <c r="C26" s="1089"/>
      <c r="D26" s="908">
        <v>0.30499999999999999</v>
      </c>
      <c r="E26" s="909">
        <f t="shared" si="1"/>
        <v>0.30499999999999999</v>
      </c>
      <c r="F26" s="1089"/>
      <c r="G26" s="908">
        <v>0.33600000000000002</v>
      </c>
      <c r="H26" s="909">
        <v>0.33600000000000002</v>
      </c>
      <c r="I26" s="1089"/>
      <c r="J26" s="908">
        <v>0.13058799999999998</v>
      </c>
      <c r="K26" s="1289">
        <v>0.13058799999999998</v>
      </c>
      <c r="L26" s="903" t="s">
        <v>325</v>
      </c>
      <c r="O26" s="889"/>
    </row>
    <row r="27" spans="1:15" ht="14.1" customHeight="1">
      <c r="A27" s="1670"/>
      <c r="B27" s="907" t="s">
        <v>46</v>
      </c>
      <c r="C27" s="1089"/>
      <c r="D27" s="908">
        <v>3.3000000000000002E-2</v>
      </c>
      <c r="E27" s="909">
        <f t="shared" si="1"/>
        <v>3.3000000000000002E-2</v>
      </c>
      <c r="F27" s="1089"/>
      <c r="G27" s="908">
        <v>1.52</v>
      </c>
      <c r="H27" s="909">
        <v>1.52</v>
      </c>
      <c r="I27" s="1089"/>
      <c r="J27" s="908">
        <v>4.01</v>
      </c>
      <c r="K27" s="1289">
        <v>4.01</v>
      </c>
      <c r="L27" s="903" t="s">
        <v>325</v>
      </c>
      <c r="O27" s="889"/>
    </row>
    <row r="28" spans="1:15" ht="14.1" customHeight="1">
      <c r="A28" s="1670"/>
      <c r="B28" s="907" t="s">
        <v>47</v>
      </c>
      <c r="C28" s="1089">
        <f>0.008+0.061</f>
        <v>6.9000000000000006E-2</v>
      </c>
      <c r="D28" s="908"/>
      <c r="E28" s="909">
        <f t="shared" si="1"/>
        <v>6.9000000000000006E-2</v>
      </c>
      <c r="F28" s="1089">
        <v>0.13100000000000001</v>
      </c>
      <c r="G28" s="908"/>
      <c r="H28" s="909">
        <v>0.13100000000000001</v>
      </c>
      <c r="I28" s="1089">
        <v>8.9674699999999996E-2</v>
      </c>
      <c r="J28" s="908">
        <v>0</v>
      </c>
      <c r="K28" s="1289">
        <v>8.9674699999999996E-2</v>
      </c>
      <c r="L28" s="903" t="s">
        <v>325</v>
      </c>
      <c r="O28" s="889"/>
    </row>
    <row r="29" spans="1:15" ht="14.1" customHeight="1">
      <c r="A29" s="1670"/>
      <c r="B29" s="907" t="s">
        <v>54</v>
      </c>
      <c r="C29" s="1089">
        <v>0.30299999999999999</v>
      </c>
      <c r="D29" s="908">
        <v>0</v>
      </c>
      <c r="E29" s="909">
        <f t="shared" si="1"/>
        <v>0.30299999999999999</v>
      </c>
      <c r="F29" s="1089">
        <v>0.33300000000000002</v>
      </c>
      <c r="G29" s="908"/>
      <c r="H29" s="909">
        <v>0.33300000000000002</v>
      </c>
      <c r="I29" s="1089">
        <v>0.49753358000000003</v>
      </c>
      <c r="J29" s="908">
        <v>0</v>
      </c>
      <c r="K29" s="1289">
        <v>0.49753358000000003</v>
      </c>
      <c r="L29" s="903" t="s">
        <v>325</v>
      </c>
      <c r="O29" s="889"/>
    </row>
    <row r="30" spans="1:15" ht="14.1" customHeight="1">
      <c r="A30" s="1670"/>
      <c r="B30" s="907" t="s">
        <v>511</v>
      </c>
      <c r="C30" s="1089"/>
      <c r="D30" s="908">
        <v>13.801</v>
      </c>
      <c r="E30" s="909">
        <f t="shared" si="1"/>
        <v>13.801</v>
      </c>
      <c r="F30" s="1089"/>
      <c r="G30" s="908">
        <v>16.308</v>
      </c>
      <c r="H30" s="909">
        <v>16.308</v>
      </c>
      <c r="I30" s="1089"/>
      <c r="J30" s="908">
        <v>17.387225165</v>
      </c>
      <c r="K30" s="1289">
        <v>17.387225165</v>
      </c>
      <c r="L30" s="903" t="s">
        <v>325</v>
      </c>
      <c r="O30" s="889"/>
    </row>
    <row r="31" spans="1:15" ht="14.1" customHeight="1">
      <c r="A31" s="1670"/>
      <c r="B31" s="907" t="s">
        <v>512</v>
      </c>
      <c r="C31" s="1089"/>
      <c r="D31" s="908"/>
      <c r="E31" s="909"/>
      <c r="F31" s="1089"/>
      <c r="G31" s="908">
        <v>3.3039999999999998</v>
      </c>
      <c r="H31" s="909">
        <v>3.3039999999999998</v>
      </c>
      <c r="I31" s="1089"/>
      <c r="J31" s="908">
        <v>4.5762114799999996</v>
      </c>
      <c r="K31" s="1289">
        <v>4.5762114799999996</v>
      </c>
      <c r="L31" s="903" t="s">
        <v>325</v>
      </c>
      <c r="O31" s="889"/>
    </row>
    <row r="32" spans="1:15" ht="14.1" customHeight="1">
      <c r="A32" s="1670"/>
      <c r="B32" s="907" t="s">
        <v>513</v>
      </c>
      <c r="C32" s="1089"/>
      <c r="D32" s="908"/>
      <c r="E32" s="909"/>
      <c r="F32" s="1089"/>
      <c r="G32" s="908">
        <v>0.23499999999999999</v>
      </c>
      <c r="H32" s="909">
        <v>0.23499999999999999</v>
      </c>
      <c r="I32" s="1089"/>
      <c r="J32" s="908">
        <v>2.0385249999999999</v>
      </c>
      <c r="K32" s="1289">
        <v>2.0385249999999999</v>
      </c>
      <c r="L32" s="903" t="s">
        <v>325</v>
      </c>
      <c r="O32" s="889"/>
    </row>
    <row r="33" spans="1:15" ht="14.1" customHeight="1">
      <c r="A33" s="1670"/>
      <c r="B33" s="907" t="s">
        <v>524</v>
      </c>
      <c r="C33" s="1089"/>
      <c r="D33" s="908">
        <v>15</v>
      </c>
      <c r="E33" s="909">
        <f t="shared" si="1"/>
        <v>15</v>
      </c>
      <c r="F33" s="1089"/>
      <c r="G33" s="908">
        <v>13.707000000000001</v>
      </c>
      <c r="H33" s="909">
        <v>13.707000000000001</v>
      </c>
      <c r="I33" s="1089"/>
      <c r="J33" s="908">
        <v>14.999908000000001</v>
      </c>
      <c r="K33" s="1289">
        <v>14.999908000000001</v>
      </c>
      <c r="L33" s="903" t="s">
        <v>325</v>
      </c>
      <c r="O33" s="889"/>
    </row>
    <row r="34" spans="1:15" ht="14.1" customHeight="1">
      <c r="A34" s="1670"/>
      <c r="B34" s="907" t="s">
        <v>465</v>
      </c>
      <c r="C34" s="1089"/>
      <c r="D34" s="908">
        <v>0.50700000000000001</v>
      </c>
      <c r="E34" s="909">
        <f t="shared" si="1"/>
        <v>0.50700000000000001</v>
      </c>
      <c r="F34" s="1089"/>
      <c r="G34" s="908">
        <v>4.6280000000000001</v>
      </c>
      <c r="H34" s="909">
        <v>4.6280000000000001</v>
      </c>
      <c r="I34" s="1089"/>
      <c r="J34" s="908">
        <v>7</v>
      </c>
      <c r="K34" s="1289">
        <v>7</v>
      </c>
      <c r="L34" s="903" t="s">
        <v>325</v>
      </c>
      <c r="O34" s="889"/>
    </row>
    <row r="35" spans="1:15" ht="14.1" customHeight="1">
      <c r="A35" s="1670"/>
      <c r="B35" s="907" t="s">
        <v>215</v>
      </c>
      <c r="C35" s="1089">
        <v>5.7690000000000001</v>
      </c>
      <c r="D35" s="908"/>
      <c r="E35" s="909">
        <f t="shared" si="1"/>
        <v>5.7690000000000001</v>
      </c>
      <c r="F35" s="1089">
        <v>5.9239999999999995</v>
      </c>
      <c r="G35" s="908"/>
      <c r="H35" s="909">
        <v>5.9239999999999995</v>
      </c>
      <c r="I35" s="1089">
        <v>6.2152678599999991</v>
      </c>
      <c r="J35" s="908">
        <v>0</v>
      </c>
      <c r="K35" s="1289">
        <v>6.2152678599999991</v>
      </c>
      <c r="L35" s="903" t="s">
        <v>326</v>
      </c>
      <c r="O35" s="889"/>
    </row>
    <row r="36" spans="1:15" ht="14.1" customHeight="1">
      <c r="A36" s="1670"/>
      <c r="B36" s="907" t="s">
        <v>312</v>
      </c>
      <c r="C36" s="1089"/>
      <c r="D36" s="908">
        <v>0.125</v>
      </c>
      <c r="E36" s="909">
        <f t="shared" si="1"/>
        <v>0.125</v>
      </c>
      <c r="F36" s="1089"/>
      <c r="G36" s="908">
        <v>0.183</v>
      </c>
      <c r="H36" s="909">
        <v>0.183</v>
      </c>
      <c r="I36" s="1089"/>
      <c r="J36" s="908">
        <v>0</v>
      </c>
      <c r="K36" s="1289">
        <v>0</v>
      </c>
      <c r="L36" s="903" t="s">
        <v>326</v>
      </c>
      <c r="O36" s="889"/>
    </row>
    <row r="37" spans="1:15" ht="14.1" customHeight="1">
      <c r="A37" s="1670"/>
      <c r="B37" s="907" t="s">
        <v>540</v>
      </c>
      <c r="C37" s="1092"/>
      <c r="D37" s="919"/>
      <c r="E37" s="920"/>
      <c r="F37" s="1092"/>
      <c r="G37" s="919"/>
      <c r="H37" s="920"/>
      <c r="I37" s="1092"/>
      <c r="J37" s="919">
        <v>5.9919999999999999E-3</v>
      </c>
      <c r="K37" s="1293">
        <v>5.9919999999999999E-3</v>
      </c>
      <c r="L37" s="903" t="s">
        <v>326</v>
      </c>
      <c r="O37" s="889"/>
    </row>
    <row r="38" spans="1:15" s="889" customFormat="1" ht="14.1" customHeight="1">
      <c r="A38" s="1671"/>
      <c r="B38" s="911" t="s">
        <v>76</v>
      </c>
      <c r="C38" s="913">
        <f>SUM(C23:C37)</f>
        <v>60.417999999999999</v>
      </c>
      <c r="D38" s="913">
        <f>SUM(D23:D37)</f>
        <v>96.065000000000012</v>
      </c>
      <c r="E38" s="915">
        <f>C38+D38</f>
        <v>156.483</v>
      </c>
      <c r="F38" s="913">
        <v>66.568999999999988</v>
      </c>
      <c r="G38" s="913">
        <v>124.589</v>
      </c>
      <c r="H38" s="915">
        <v>191.15799999999999</v>
      </c>
      <c r="I38" s="913">
        <v>66.117111013000013</v>
      </c>
      <c r="J38" s="913">
        <v>140.07525476500001</v>
      </c>
      <c r="K38" s="915">
        <v>206.19236577800001</v>
      </c>
      <c r="L38" s="891"/>
      <c r="M38" s="1260"/>
    </row>
    <row r="39" spans="1:15" ht="14.1" customHeight="1">
      <c r="A39" s="1669" t="s">
        <v>138</v>
      </c>
      <c r="B39" s="904" t="s">
        <v>40</v>
      </c>
      <c r="C39" s="1091"/>
      <c r="D39" s="916">
        <v>110.629</v>
      </c>
      <c r="E39" s="917">
        <f t="shared" si="1"/>
        <v>110.629</v>
      </c>
      <c r="F39" s="1091"/>
      <c r="G39" s="916">
        <v>114.63800000000001</v>
      </c>
      <c r="H39" s="917">
        <v>114.63800000000001</v>
      </c>
      <c r="I39" s="1091"/>
      <c r="J39" s="916">
        <v>118.14393375000002</v>
      </c>
      <c r="K39" s="1292">
        <v>118.14393375000002</v>
      </c>
      <c r="L39" s="903" t="s">
        <v>325</v>
      </c>
      <c r="O39" s="889"/>
    </row>
    <row r="40" spans="1:15" ht="14.1" customHeight="1">
      <c r="A40" s="1670"/>
      <c r="B40" s="907" t="s">
        <v>41</v>
      </c>
      <c r="C40" s="1089">
        <v>9.4E-2</v>
      </c>
      <c r="D40" s="908">
        <v>2.7509999999999999</v>
      </c>
      <c r="E40" s="909">
        <f t="shared" si="1"/>
        <v>2.8449999999999998</v>
      </c>
      <c r="F40" s="1089">
        <v>3.5999999999999997E-2</v>
      </c>
      <c r="G40" s="908">
        <v>2.6320000000000001</v>
      </c>
      <c r="H40" s="909">
        <v>2.6680000000000001</v>
      </c>
      <c r="I40" s="1089"/>
      <c r="J40" s="908">
        <v>2.7487702899999999</v>
      </c>
      <c r="K40" s="1289">
        <v>2.7487702899999999</v>
      </c>
      <c r="L40" s="903" t="s">
        <v>325</v>
      </c>
      <c r="O40" s="889"/>
    </row>
    <row r="41" spans="1:15" ht="14.1" customHeight="1">
      <c r="A41" s="1670"/>
      <c r="B41" s="907" t="s">
        <v>42</v>
      </c>
      <c r="C41" s="1089"/>
      <c r="D41" s="908">
        <v>9.891</v>
      </c>
      <c r="E41" s="909">
        <f t="shared" si="1"/>
        <v>9.891</v>
      </c>
      <c r="F41" s="1089"/>
      <c r="G41" s="908">
        <v>12.096</v>
      </c>
      <c r="H41" s="909">
        <v>12.096</v>
      </c>
      <c r="I41" s="1089"/>
      <c r="J41" s="908">
        <v>14.35434878</v>
      </c>
      <c r="K41" s="1289">
        <v>14.35434878</v>
      </c>
      <c r="L41" s="903" t="s">
        <v>325</v>
      </c>
      <c r="O41" s="889"/>
    </row>
    <row r="42" spans="1:15" ht="14.1" customHeight="1">
      <c r="A42" s="1670"/>
      <c r="B42" s="918" t="s">
        <v>421</v>
      </c>
      <c r="C42" s="1092"/>
      <c r="D42" s="919">
        <v>1.946</v>
      </c>
      <c r="E42" s="909">
        <f t="shared" si="1"/>
        <v>1.946</v>
      </c>
      <c r="F42" s="1092"/>
      <c r="G42" s="919">
        <v>5</v>
      </c>
      <c r="H42" s="909">
        <v>5</v>
      </c>
      <c r="I42" s="1092"/>
      <c r="J42" s="919">
        <v>5.8113694999999996</v>
      </c>
      <c r="K42" s="1289">
        <v>5.8113694999999996</v>
      </c>
      <c r="L42" s="903" t="s">
        <v>325</v>
      </c>
      <c r="O42" s="889"/>
    </row>
    <row r="43" spans="1:15" ht="14.1" customHeight="1">
      <c r="A43" s="1670"/>
      <c r="B43" s="918" t="s">
        <v>467</v>
      </c>
      <c r="C43" s="1092"/>
      <c r="D43" s="919">
        <v>0.311</v>
      </c>
      <c r="E43" s="909">
        <f t="shared" si="1"/>
        <v>0.311</v>
      </c>
      <c r="F43" s="1092"/>
      <c r="G43" s="919">
        <v>1.2509999999999999</v>
      </c>
      <c r="H43" s="909">
        <v>1.2509999999999999</v>
      </c>
      <c r="I43" s="1092"/>
      <c r="J43" s="919">
        <v>3.8013010000000005</v>
      </c>
      <c r="K43" s="1289">
        <v>3.8013010000000005</v>
      </c>
      <c r="L43" s="903" t="s">
        <v>325</v>
      </c>
      <c r="O43" s="889"/>
    </row>
    <row r="44" spans="1:15" ht="14.1" customHeight="1">
      <c r="A44" s="1670"/>
      <c r="B44" s="907" t="s">
        <v>247</v>
      </c>
      <c r="C44" s="1089"/>
      <c r="D44" s="908">
        <v>16.312000000000001</v>
      </c>
      <c r="E44" s="909">
        <f t="shared" si="1"/>
        <v>16.312000000000001</v>
      </c>
      <c r="F44" s="1089"/>
      <c r="G44" s="908">
        <v>18.276</v>
      </c>
      <c r="H44" s="909">
        <v>18.276</v>
      </c>
      <c r="I44" s="1089"/>
      <c r="J44" s="908">
        <v>18.118747900000002</v>
      </c>
      <c r="K44" s="1289">
        <v>18.118747900000002</v>
      </c>
      <c r="L44" s="903" t="s">
        <v>326</v>
      </c>
      <c r="O44" s="889"/>
    </row>
    <row r="45" spans="1:15" ht="14.1" customHeight="1">
      <c r="A45" s="1670"/>
      <c r="B45" s="907" t="s">
        <v>297</v>
      </c>
      <c r="C45" s="1089"/>
      <c r="D45" s="908">
        <v>3.36</v>
      </c>
      <c r="E45" s="909">
        <f t="shared" si="1"/>
        <v>3.36</v>
      </c>
      <c r="F45" s="1089"/>
      <c r="G45" s="908">
        <v>3.92</v>
      </c>
      <c r="H45" s="909">
        <v>3.92</v>
      </c>
      <c r="I45" s="1089"/>
      <c r="J45" s="908">
        <v>3.9199976999999997</v>
      </c>
      <c r="K45" s="1289">
        <v>3.9199976999999997</v>
      </c>
      <c r="L45" s="903" t="s">
        <v>326</v>
      </c>
      <c r="O45" s="889"/>
    </row>
    <row r="46" spans="1:15" ht="14.1" customHeight="1">
      <c r="A46" s="1670"/>
      <c r="B46" s="907" t="s">
        <v>305</v>
      </c>
      <c r="C46" s="1089"/>
      <c r="D46" s="908">
        <v>0.35199999999999998</v>
      </c>
      <c r="E46" s="909">
        <f t="shared" si="1"/>
        <v>0.35199999999999998</v>
      </c>
      <c r="F46" s="1089"/>
      <c r="G46" s="908">
        <v>0.32900000000000001</v>
      </c>
      <c r="H46" s="909">
        <v>0.32900000000000001</v>
      </c>
      <c r="I46" s="1089"/>
      <c r="J46" s="908">
        <v>0.30299999999999999</v>
      </c>
      <c r="K46" s="1289">
        <v>0.30299999999999999</v>
      </c>
      <c r="L46" s="903" t="s">
        <v>326</v>
      </c>
      <c r="O46" s="889"/>
    </row>
    <row r="47" spans="1:15" ht="14.1" customHeight="1">
      <c r="A47" s="1670"/>
      <c r="B47" s="918" t="s">
        <v>420</v>
      </c>
      <c r="C47" s="1092"/>
      <c r="D47" s="919">
        <v>0.35899999999999999</v>
      </c>
      <c r="E47" s="909">
        <f t="shared" si="1"/>
        <v>0.35899999999999999</v>
      </c>
      <c r="F47" s="1092"/>
      <c r="G47" s="919">
        <v>0.75</v>
      </c>
      <c r="H47" s="909">
        <v>0.75</v>
      </c>
      <c r="I47" s="1092"/>
      <c r="J47" s="919">
        <v>0.11956399999999999</v>
      </c>
      <c r="K47" s="1289">
        <v>0.11956399999999999</v>
      </c>
      <c r="L47" s="903" t="s">
        <v>326</v>
      </c>
      <c r="O47" s="889"/>
    </row>
    <row r="48" spans="1:15" ht="14.1" customHeight="1">
      <c r="A48" s="1670"/>
      <c r="B48" s="918" t="s">
        <v>475</v>
      </c>
      <c r="C48" s="1092"/>
      <c r="D48" s="919">
        <v>2.4E-2</v>
      </c>
      <c r="E48" s="909">
        <f t="shared" si="1"/>
        <v>2.4E-2</v>
      </c>
      <c r="F48" s="1092"/>
      <c r="G48" s="919">
        <v>0.3</v>
      </c>
      <c r="H48" s="909">
        <v>0.3</v>
      </c>
      <c r="I48" s="1092"/>
      <c r="J48" s="919">
        <v>0.25005500000000003</v>
      </c>
      <c r="K48" s="1289">
        <v>0.25005500000000003</v>
      </c>
      <c r="L48" s="903" t="s">
        <v>326</v>
      </c>
      <c r="O48" s="889"/>
    </row>
    <row r="49" spans="1:15" ht="14.1" customHeight="1">
      <c r="A49" s="1671"/>
      <c r="B49" s="911" t="s">
        <v>76</v>
      </c>
      <c r="C49" s="1090">
        <f>SUM(C39:C48)</f>
        <v>9.4E-2</v>
      </c>
      <c r="D49" s="914">
        <f>SUM(D39:D48)</f>
        <v>145.93500000000006</v>
      </c>
      <c r="E49" s="915">
        <f>SUM(E39:E48)</f>
        <v>146.02900000000005</v>
      </c>
      <c r="F49" s="1090">
        <v>3.5999999999999997E-2</v>
      </c>
      <c r="G49" s="914">
        <v>159.19200000000004</v>
      </c>
      <c r="H49" s="915">
        <v>159.22800000000004</v>
      </c>
      <c r="I49" s="1090">
        <v>0</v>
      </c>
      <c r="J49" s="914">
        <v>167.57108792000002</v>
      </c>
      <c r="K49" s="1290">
        <v>167.57108792000002</v>
      </c>
      <c r="L49" s="891"/>
      <c r="O49" s="889"/>
    </row>
    <row r="50" spans="1:15" ht="14.1" customHeight="1">
      <c r="A50" s="1669" t="s">
        <v>113</v>
      </c>
      <c r="B50" s="904" t="s">
        <v>41</v>
      </c>
      <c r="C50" s="1091"/>
      <c r="D50" s="916">
        <v>61.438000000000002</v>
      </c>
      <c r="E50" s="917">
        <f>C50+D50</f>
        <v>61.438000000000002</v>
      </c>
      <c r="F50" s="1091"/>
      <c r="G50" s="916">
        <v>66.444999999999993</v>
      </c>
      <c r="H50" s="917">
        <v>66.444999999999993</v>
      </c>
      <c r="I50" s="1091"/>
      <c r="J50" s="916">
        <v>66.372200790999997</v>
      </c>
      <c r="K50" s="1292">
        <v>66.372200790999997</v>
      </c>
      <c r="L50" s="903" t="s">
        <v>325</v>
      </c>
      <c r="O50" s="889"/>
    </row>
    <row r="51" spans="1:15" ht="14.1" customHeight="1">
      <c r="A51" s="1670"/>
      <c r="B51" s="907" t="s">
        <v>419</v>
      </c>
      <c r="C51" s="1089"/>
      <c r="D51" s="908">
        <v>1.6080000000000001</v>
      </c>
      <c r="E51" s="909">
        <f>C51+D51</f>
        <v>1.6080000000000001</v>
      </c>
      <c r="F51" s="1089"/>
      <c r="G51" s="908">
        <v>2.5</v>
      </c>
      <c r="H51" s="909">
        <v>2.5</v>
      </c>
      <c r="I51" s="1089"/>
      <c r="J51" s="908">
        <v>3.5</v>
      </c>
      <c r="K51" s="1289">
        <v>3.5</v>
      </c>
      <c r="L51" s="903" t="s">
        <v>325</v>
      </c>
      <c r="O51" s="889"/>
    </row>
    <row r="52" spans="1:15" ht="14.1" customHeight="1">
      <c r="A52" s="1670"/>
      <c r="B52" s="907" t="s">
        <v>142</v>
      </c>
      <c r="C52" s="1089"/>
      <c r="D52" s="908">
        <v>0.193</v>
      </c>
      <c r="E52" s="909">
        <f>C52+D52</f>
        <v>0.193</v>
      </c>
      <c r="F52" s="1089"/>
      <c r="G52" s="908">
        <v>0.14599999999999999</v>
      </c>
      <c r="H52" s="909">
        <v>0.14599999999999999</v>
      </c>
      <c r="I52" s="1089"/>
      <c r="J52" s="908">
        <v>0.11782000000000001</v>
      </c>
      <c r="K52" s="1289">
        <v>0.11782000000000001</v>
      </c>
      <c r="L52" s="903" t="s">
        <v>326</v>
      </c>
      <c r="O52" s="889"/>
    </row>
    <row r="53" spans="1:15" ht="14.1" customHeight="1">
      <c r="A53" s="1670"/>
      <c r="B53" s="907" t="s">
        <v>248</v>
      </c>
      <c r="C53" s="1089"/>
      <c r="D53" s="908">
        <v>0.2</v>
      </c>
      <c r="E53" s="909">
        <f>C53+D53</f>
        <v>0.2</v>
      </c>
      <c r="F53" s="1089"/>
      <c r="G53" s="908">
        <v>0.105</v>
      </c>
      <c r="H53" s="909">
        <v>0.105</v>
      </c>
      <c r="I53" s="1089"/>
      <c r="J53" s="908">
        <v>4.1113999999999998E-2</v>
      </c>
      <c r="K53" s="1289">
        <v>4.1113999999999998E-2</v>
      </c>
      <c r="L53" s="903" t="s">
        <v>326</v>
      </c>
      <c r="O53" s="889"/>
    </row>
    <row r="54" spans="1:15" ht="14.1" customHeight="1">
      <c r="A54" s="1670"/>
      <c r="B54" s="907" t="s">
        <v>227</v>
      </c>
      <c r="C54" s="1089"/>
      <c r="D54" s="908">
        <v>0.18099999999999999</v>
      </c>
      <c r="E54" s="909">
        <f>C54+D54</f>
        <v>0.18099999999999999</v>
      </c>
      <c r="F54" s="1089"/>
      <c r="G54" s="908">
        <v>1E-3</v>
      </c>
      <c r="H54" s="909">
        <v>1E-3</v>
      </c>
      <c r="I54" s="1089"/>
      <c r="J54" s="908">
        <v>0</v>
      </c>
      <c r="K54" s="1289">
        <v>0</v>
      </c>
      <c r="L54" s="903" t="s">
        <v>326</v>
      </c>
      <c r="O54" s="889"/>
    </row>
    <row r="55" spans="1:15" ht="14.1" customHeight="1">
      <c r="A55" s="1670"/>
      <c r="B55" s="907" t="s">
        <v>514</v>
      </c>
      <c r="C55" s="1089"/>
      <c r="D55" s="908"/>
      <c r="E55" s="909"/>
      <c r="F55" s="1089"/>
      <c r="G55" s="908">
        <v>8.5000000000000006E-2</v>
      </c>
      <c r="H55" s="909">
        <v>8.5000000000000006E-2</v>
      </c>
      <c r="I55" s="1089"/>
      <c r="J55" s="908">
        <v>0.74999983000000003</v>
      </c>
      <c r="K55" s="1289">
        <v>0.74999983000000003</v>
      </c>
      <c r="L55" s="903" t="s">
        <v>326</v>
      </c>
      <c r="O55" s="889"/>
    </row>
    <row r="56" spans="1:15" s="889" customFormat="1" ht="14.1" customHeight="1">
      <c r="A56" s="1671"/>
      <c r="B56" s="911" t="s">
        <v>76</v>
      </c>
      <c r="C56" s="914">
        <f>SUM(C50:C55)</f>
        <v>0</v>
      </c>
      <c r="D56" s="914">
        <f>SUM(D50:D55)</f>
        <v>63.62</v>
      </c>
      <c r="E56" s="915">
        <f>C56+D56</f>
        <v>63.62</v>
      </c>
      <c r="F56" s="914">
        <v>0</v>
      </c>
      <c r="G56" s="914">
        <v>69.281999999999996</v>
      </c>
      <c r="H56" s="915">
        <v>69.281999999999996</v>
      </c>
      <c r="I56" s="1090">
        <v>0</v>
      </c>
      <c r="J56" s="914">
        <v>70.781134620999978</v>
      </c>
      <c r="K56" s="1293">
        <v>70.781134620999978</v>
      </c>
      <c r="L56" s="891"/>
    </row>
    <row r="57" spans="1:15" s="889" customFormat="1" ht="14.1" customHeight="1">
      <c r="A57" s="923"/>
      <c r="B57" s="924"/>
      <c r="C57" s="899"/>
      <c r="D57" s="912"/>
      <c r="E57" s="912"/>
      <c r="F57" s="899"/>
      <c r="G57" s="912"/>
      <c r="H57" s="912"/>
      <c r="I57" s="912"/>
      <c r="J57" s="912"/>
      <c r="K57" s="1291" t="s">
        <v>430</v>
      </c>
      <c r="L57" s="925"/>
    </row>
    <row r="58" spans="1:15" ht="15" customHeight="1">
      <c r="A58" s="1669" t="s">
        <v>265</v>
      </c>
      <c r="B58" s="904" t="s">
        <v>43</v>
      </c>
      <c r="C58" s="1091"/>
      <c r="D58" s="916">
        <v>193.262</v>
      </c>
      <c r="E58" s="917">
        <f>C58+D58</f>
        <v>193.262</v>
      </c>
      <c r="F58" s="1091"/>
      <c r="G58" s="916">
        <v>206.09899999999999</v>
      </c>
      <c r="H58" s="917">
        <v>206.09899999999999</v>
      </c>
      <c r="I58" s="1091"/>
      <c r="J58" s="916">
        <v>225.17363553000001</v>
      </c>
      <c r="K58" s="1292">
        <v>225.17363553000001</v>
      </c>
      <c r="L58" s="903" t="s">
        <v>325</v>
      </c>
      <c r="O58" s="889"/>
    </row>
    <row r="59" spans="1:15" ht="15" customHeight="1">
      <c r="A59" s="1670"/>
      <c r="B59" s="907" t="s">
        <v>333</v>
      </c>
      <c r="C59" s="1089"/>
      <c r="D59" s="908">
        <v>8</v>
      </c>
      <c r="E59" s="909">
        <f>C59+D59</f>
        <v>8</v>
      </c>
      <c r="F59" s="1089"/>
      <c r="G59" s="908">
        <v>8.5090000000000003</v>
      </c>
      <c r="H59" s="909">
        <v>8.5090000000000003</v>
      </c>
      <c r="I59" s="1089"/>
      <c r="J59" s="908">
        <v>11.715622003</v>
      </c>
      <c r="K59" s="1289">
        <v>11.715622003</v>
      </c>
      <c r="L59" s="903" t="s">
        <v>325</v>
      </c>
      <c r="O59" s="889"/>
    </row>
    <row r="60" spans="1:15" ht="15" customHeight="1">
      <c r="A60" s="1670"/>
      <c r="B60" s="907" t="s">
        <v>515</v>
      </c>
      <c r="C60" s="1089"/>
      <c r="D60" s="908">
        <v>7</v>
      </c>
      <c r="E60" s="909">
        <f>C60+D60</f>
        <v>7</v>
      </c>
      <c r="F60" s="1089"/>
      <c r="G60" s="908">
        <v>7</v>
      </c>
      <c r="H60" s="909">
        <v>7</v>
      </c>
      <c r="I60" s="1089"/>
      <c r="J60" s="908">
        <v>7</v>
      </c>
      <c r="K60" s="1289">
        <v>7</v>
      </c>
      <c r="L60" s="903" t="s">
        <v>325</v>
      </c>
      <c r="O60" s="889"/>
    </row>
    <row r="61" spans="1:15" ht="15" customHeight="1">
      <c r="A61" s="1670"/>
      <c r="B61" s="907" t="s">
        <v>393</v>
      </c>
      <c r="C61" s="1089"/>
      <c r="D61" s="876">
        <v>10.026</v>
      </c>
      <c r="E61" s="909">
        <f>C61+D61</f>
        <v>10.026</v>
      </c>
      <c r="F61" s="1089"/>
      <c r="G61" s="876">
        <v>12.641</v>
      </c>
      <c r="H61" s="909">
        <v>12.641</v>
      </c>
      <c r="I61" s="1089"/>
      <c r="J61" s="876">
        <v>17.20165493</v>
      </c>
      <c r="K61" s="1289">
        <v>17.20165493</v>
      </c>
      <c r="L61" s="903" t="s">
        <v>325</v>
      </c>
      <c r="O61" s="889"/>
    </row>
    <row r="62" spans="1:15" ht="15" customHeight="1">
      <c r="A62" s="1670"/>
      <c r="B62" s="907" t="s">
        <v>523</v>
      </c>
      <c r="C62" s="1089"/>
      <c r="D62" s="876"/>
      <c r="E62" s="909"/>
      <c r="F62" s="1089"/>
      <c r="G62" s="876">
        <v>2</v>
      </c>
      <c r="H62" s="909">
        <v>2</v>
      </c>
      <c r="I62" s="1089"/>
      <c r="J62" s="876">
        <v>2.82</v>
      </c>
      <c r="K62" s="1289">
        <v>2.82</v>
      </c>
      <c r="L62" s="903" t="s">
        <v>325</v>
      </c>
      <c r="O62" s="889"/>
    </row>
    <row r="63" spans="1:15" ht="15" customHeight="1">
      <c r="A63" s="1670"/>
      <c r="B63" s="907" t="s">
        <v>481</v>
      </c>
      <c r="C63" s="1089"/>
      <c r="D63" s="908">
        <v>0.69299999999999995</v>
      </c>
      <c r="E63" s="909">
        <f>C63+D63</f>
        <v>0.69299999999999995</v>
      </c>
      <c r="F63" s="1089"/>
      <c r="G63" s="908">
        <v>2.1259999999999999</v>
      </c>
      <c r="H63" s="909">
        <v>2.1259999999999999</v>
      </c>
      <c r="I63" s="1089"/>
      <c r="J63" s="908">
        <v>2.0846799999999996</v>
      </c>
      <c r="K63" s="1289">
        <v>2.0846799999999996</v>
      </c>
      <c r="L63" s="903" t="s">
        <v>326</v>
      </c>
      <c r="O63" s="889"/>
    </row>
    <row r="64" spans="1:15" ht="15" customHeight="1">
      <c r="A64" s="1670"/>
      <c r="B64" s="907" t="s">
        <v>517</v>
      </c>
      <c r="C64" s="1089"/>
      <c r="D64" s="908"/>
      <c r="E64" s="909"/>
      <c r="F64" s="1089"/>
      <c r="G64" s="908">
        <v>1.0269999999999999</v>
      </c>
      <c r="H64" s="909">
        <v>1.0269999999999999</v>
      </c>
      <c r="I64" s="1089"/>
      <c r="J64" s="908">
        <v>3.36786786</v>
      </c>
      <c r="K64" s="1289">
        <v>3.36786786</v>
      </c>
      <c r="L64" s="903" t="s">
        <v>326</v>
      </c>
      <c r="O64" s="889"/>
    </row>
    <row r="65" spans="1:15" s="889" customFormat="1" ht="15" customHeight="1">
      <c r="A65" s="1671"/>
      <c r="B65" s="911" t="s">
        <v>76</v>
      </c>
      <c r="C65" s="914">
        <f>SUM(C58:C64)</f>
        <v>0</v>
      </c>
      <c r="D65" s="914">
        <f>SUM(D58:D64)</f>
        <v>218.98100000000002</v>
      </c>
      <c r="E65" s="915">
        <f>C65+D65</f>
        <v>218.98100000000002</v>
      </c>
      <c r="F65" s="914">
        <v>0</v>
      </c>
      <c r="G65" s="914">
        <v>239.40199999999999</v>
      </c>
      <c r="H65" s="915">
        <v>239.40199999999999</v>
      </c>
      <c r="I65" s="1090">
        <v>0</v>
      </c>
      <c r="J65" s="914">
        <v>269.36346032299997</v>
      </c>
      <c r="K65" s="1290">
        <v>269.36346032299997</v>
      </c>
      <c r="L65" s="891"/>
    </row>
    <row r="66" spans="1:15" s="889" customFormat="1" ht="15" customHeight="1">
      <c r="A66" s="1669" t="s">
        <v>284</v>
      </c>
      <c r="B66" s="904" t="s">
        <v>45</v>
      </c>
      <c r="C66" s="1091"/>
      <c r="D66" s="916">
        <v>67.137</v>
      </c>
      <c r="E66" s="917">
        <f t="shared" ref="E66:E79" si="2">C66+D66</f>
        <v>67.137</v>
      </c>
      <c r="F66" s="1091"/>
      <c r="G66" s="916">
        <v>70.021000000000001</v>
      </c>
      <c r="H66" s="917">
        <v>70.021000000000001</v>
      </c>
      <c r="I66" s="1091"/>
      <c r="J66" s="916">
        <v>69.006396056000014</v>
      </c>
      <c r="K66" s="1292">
        <v>69.006396056000014</v>
      </c>
      <c r="L66" s="903" t="s">
        <v>325</v>
      </c>
    </row>
    <row r="67" spans="1:15" s="889" customFormat="1" ht="15" customHeight="1">
      <c r="A67" s="1670"/>
      <c r="B67" s="907" t="s">
        <v>518</v>
      </c>
      <c r="C67" s="1089"/>
      <c r="D67" s="908">
        <v>2.5</v>
      </c>
      <c r="E67" s="909">
        <f t="shared" si="2"/>
        <v>2.5</v>
      </c>
      <c r="F67" s="1089"/>
      <c r="G67" s="908">
        <v>2.5</v>
      </c>
      <c r="H67" s="909">
        <v>2.5</v>
      </c>
      <c r="I67" s="1089"/>
      <c r="J67" s="908">
        <v>2.5</v>
      </c>
      <c r="K67" s="1289">
        <v>2.5</v>
      </c>
      <c r="L67" s="903" t="s">
        <v>325</v>
      </c>
    </row>
    <row r="68" spans="1:15" s="889" customFormat="1" ht="15" customHeight="1">
      <c r="A68" s="1671"/>
      <c r="B68" s="911" t="s">
        <v>76</v>
      </c>
      <c r="C68" s="921">
        <f>SUM(C66:C67)</f>
        <v>0</v>
      </c>
      <c r="D68" s="921">
        <f>SUM(D66:D67)</f>
        <v>69.637</v>
      </c>
      <c r="E68" s="920">
        <f t="shared" si="2"/>
        <v>69.637</v>
      </c>
      <c r="F68" s="921">
        <v>0</v>
      </c>
      <c r="G68" s="921">
        <v>72.521000000000001</v>
      </c>
      <c r="H68" s="920">
        <v>72.521000000000001</v>
      </c>
      <c r="I68" s="1294">
        <v>0</v>
      </c>
      <c r="J68" s="921">
        <v>71.506396056000014</v>
      </c>
      <c r="K68" s="1293">
        <v>71.506396056000014</v>
      </c>
      <c r="L68" s="891"/>
    </row>
    <row r="69" spans="1:15" s="889" customFormat="1" ht="15" customHeight="1">
      <c r="A69" s="897" t="s">
        <v>139</v>
      </c>
      <c r="B69" s="898" t="s">
        <v>40</v>
      </c>
      <c r="C69" s="1087"/>
      <c r="D69" s="922">
        <v>20.54</v>
      </c>
      <c r="E69" s="902">
        <f t="shared" si="2"/>
        <v>20.54</v>
      </c>
      <c r="F69" s="1087"/>
      <c r="G69" s="922">
        <v>21.51</v>
      </c>
      <c r="H69" s="902">
        <v>21.51</v>
      </c>
      <c r="I69" s="1087">
        <v>0</v>
      </c>
      <c r="J69" s="922">
        <v>20.856285889999999</v>
      </c>
      <c r="K69" s="1287">
        <v>20.856285889999999</v>
      </c>
      <c r="L69" s="903" t="s">
        <v>325</v>
      </c>
    </row>
    <row r="70" spans="1:15" ht="15" customHeight="1">
      <c r="A70" s="1669" t="s">
        <v>140</v>
      </c>
      <c r="B70" s="904" t="s">
        <v>37</v>
      </c>
      <c r="C70" s="1091"/>
      <c r="D70" s="916">
        <v>26.713000000000001</v>
      </c>
      <c r="E70" s="917">
        <f t="shared" si="2"/>
        <v>26.713000000000001</v>
      </c>
      <c r="F70" s="1091"/>
      <c r="G70" s="916">
        <v>30.161000000000001</v>
      </c>
      <c r="H70" s="917">
        <v>30.161000000000001</v>
      </c>
      <c r="I70" s="1091"/>
      <c r="J70" s="916">
        <v>30.702434728</v>
      </c>
      <c r="K70" s="1292">
        <v>30.702434728</v>
      </c>
      <c r="L70" s="903" t="s">
        <v>325</v>
      </c>
      <c r="O70" s="889"/>
    </row>
    <row r="71" spans="1:15" ht="15" customHeight="1">
      <c r="A71" s="1670"/>
      <c r="B71" s="907" t="s">
        <v>38</v>
      </c>
      <c r="C71" s="1089">
        <v>0</v>
      </c>
      <c r="D71" s="908">
        <v>0</v>
      </c>
      <c r="E71" s="909">
        <f t="shared" si="2"/>
        <v>0</v>
      </c>
      <c r="F71" s="1089">
        <v>0</v>
      </c>
      <c r="G71" s="908">
        <v>0</v>
      </c>
      <c r="H71" s="909">
        <v>0</v>
      </c>
      <c r="I71" s="1089">
        <v>0.12981600000000001</v>
      </c>
      <c r="J71" s="908"/>
      <c r="K71" s="1289">
        <v>0.12981600000000001</v>
      </c>
      <c r="L71" s="903" t="s">
        <v>325</v>
      </c>
      <c r="O71" s="889"/>
    </row>
    <row r="72" spans="1:15" ht="15" customHeight="1">
      <c r="A72" s="1670"/>
      <c r="B72" s="907" t="s">
        <v>519</v>
      </c>
      <c r="C72" s="1089"/>
      <c r="D72" s="908">
        <v>3.714</v>
      </c>
      <c r="E72" s="909">
        <f t="shared" si="2"/>
        <v>3.714</v>
      </c>
      <c r="F72" s="1089"/>
      <c r="G72" s="908">
        <v>3</v>
      </c>
      <c r="H72" s="909">
        <v>3</v>
      </c>
      <c r="I72" s="1089"/>
      <c r="J72" s="908">
        <v>1.5999999999999999</v>
      </c>
      <c r="K72" s="1289">
        <v>1.5999999999999999</v>
      </c>
      <c r="L72" s="903" t="s">
        <v>325</v>
      </c>
      <c r="O72" s="889"/>
    </row>
    <row r="73" spans="1:15" ht="15" customHeight="1">
      <c r="A73" s="1670"/>
      <c r="B73" s="907" t="s">
        <v>520</v>
      </c>
      <c r="C73" s="1089"/>
      <c r="D73" s="908"/>
      <c r="E73" s="909"/>
      <c r="F73" s="1089"/>
      <c r="G73" s="908">
        <v>0.5</v>
      </c>
      <c r="H73" s="909">
        <v>0.5</v>
      </c>
      <c r="I73" s="1089"/>
      <c r="J73" s="908">
        <v>0</v>
      </c>
      <c r="K73" s="1289">
        <v>0</v>
      </c>
      <c r="L73" s="903" t="s">
        <v>325</v>
      </c>
      <c r="O73" s="889"/>
    </row>
    <row r="74" spans="1:15" ht="15" customHeight="1">
      <c r="A74" s="1670"/>
      <c r="B74" s="907" t="s">
        <v>521</v>
      </c>
      <c r="C74" s="1089"/>
      <c r="D74" s="908"/>
      <c r="E74" s="909"/>
      <c r="F74" s="1089"/>
      <c r="G74" s="908">
        <v>1.1240000000000001</v>
      </c>
      <c r="H74" s="909">
        <v>1.1240000000000001</v>
      </c>
      <c r="I74" s="1089"/>
      <c r="J74" s="908">
        <v>0.76502810999999993</v>
      </c>
      <c r="K74" s="1289">
        <v>0.76502810999999993</v>
      </c>
      <c r="L74" s="903" t="s">
        <v>325</v>
      </c>
      <c r="O74" s="889"/>
    </row>
    <row r="75" spans="1:15" ht="15" customHeight="1">
      <c r="A75" s="1670"/>
      <c r="B75" s="907" t="s">
        <v>522</v>
      </c>
      <c r="C75" s="1089"/>
      <c r="D75" s="908"/>
      <c r="E75" s="909"/>
      <c r="F75" s="1089"/>
      <c r="G75" s="908">
        <v>0.109</v>
      </c>
      <c r="H75" s="909">
        <v>0.109</v>
      </c>
      <c r="I75" s="1089"/>
      <c r="J75" s="908">
        <v>0.8</v>
      </c>
      <c r="K75" s="1289">
        <v>0.8</v>
      </c>
      <c r="L75" s="903" t="s">
        <v>325</v>
      </c>
      <c r="O75" s="889"/>
    </row>
    <row r="76" spans="1:15" ht="15" customHeight="1">
      <c r="A76" s="1670"/>
      <c r="B76" s="907" t="s">
        <v>539</v>
      </c>
      <c r="C76" s="1089"/>
      <c r="D76" s="908">
        <v>1.7000000000000001E-2</v>
      </c>
      <c r="E76" s="909">
        <f t="shared" si="2"/>
        <v>1.7000000000000001E-2</v>
      </c>
      <c r="F76" s="1089"/>
      <c r="G76" s="908">
        <v>7.4999999999999997E-2</v>
      </c>
      <c r="H76" s="909">
        <v>7.4999999999999997E-2</v>
      </c>
      <c r="I76" s="1089"/>
      <c r="J76" s="908">
        <v>9.8352000000000009E-2</v>
      </c>
      <c r="K76" s="1289">
        <v>9.8352000000000009E-2</v>
      </c>
      <c r="L76" s="903" t="s">
        <v>325</v>
      </c>
      <c r="O76" s="889"/>
    </row>
    <row r="77" spans="1:15" ht="15" customHeight="1">
      <c r="A77" s="1670"/>
      <c r="B77" s="907" t="s">
        <v>392</v>
      </c>
      <c r="C77" s="1089"/>
      <c r="D77" s="908">
        <v>0.55100000000000005</v>
      </c>
      <c r="E77" s="909">
        <f t="shared" si="2"/>
        <v>0.55100000000000005</v>
      </c>
      <c r="F77" s="1089"/>
      <c r="G77" s="908">
        <v>1</v>
      </c>
      <c r="H77" s="909">
        <v>1</v>
      </c>
      <c r="I77" s="1089"/>
      <c r="J77" s="908">
        <v>0.50503900000000002</v>
      </c>
      <c r="K77" s="1289">
        <v>0.50503900000000002</v>
      </c>
      <c r="L77" s="903" t="s">
        <v>325</v>
      </c>
      <c r="O77" s="889"/>
    </row>
    <row r="78" spans="1:15" ht="15" customHeight="1">
      <c r="A78" s="1670"/>
      <c r="B78" s="907" t="s">
        <v>298</v>
      </c>
      <c r="C78" s="1089"/>
      <c r="D78" s="908">
        <v>1.8009999999999999</v>
      </c>
      <c r="E78" s="909">
        <f t="shared" si="2"/>
        <v>1.8009999999999999</v>
      </c>
      <c r="F78" s="1089"/>
      <c r="G78" s="908">
        <v>1.2929999999999999</v>
      </c>
      <c r="H78" s="909">
        <v>1.2929999999999999</v>
      </c>
      <c r="I78" s="1089"/>
      <c r="J78" s="908">
        <v>1.4882881799999998</v>
      </c>
      <c r="K78" s="1289">
        <v>1.4882881799999998</v>
      </c>
      <c r="L78" s="903" t="s">
        <v>326</v>
      </c>
      <c r="O78" s="889"/>
    </row>
    <row r="79" spans="1:15" s="889" customFormat="1" ht="15" customHeight="1">
      <c r="A79" s="1671"/>
      <c r="B79" s="911" t="s">
        <v>76</v>
      </c>
      <c r="C79" s="1090">
        <f>SUM(C70:C78)</f>
        <v>0</v>
      </c>
      <c r="D79" s="914">
        <f>SUM(D70:D78)</f>
        <v>32.795999999999999</v>
      </c>
      <c r="E79" s="915">
        <f t="shared" si="2"/>
        <v>32.795999999999999</v>
      </c>
      <c r="F79" s="1090">
        <v>0</v>
      </c>
      <c r="G79" s="914">
        <v>37.262000000000008</v>
      </c>
      <c r="H79" s="915">
        <v>37.262000000000008</v>
      </c>
      <c r="I79" s="1090">
        <v>0.12981600000000001</v>
      </c>
      <c r="J79" s="914">
        <v>35.959142017999994</v>
      </c>
      <c r="K79" s="1290">
        <v>36.088958017999992</v>
      </c>
      <c r="L79" s="891"/>
    </row>
    <row r="80" spans="1:15" s="889" customFormat="1" ht="15" customHeight="1">
      <c r="A80" s="1095" t="s">
        <v>136</v>
      </c>
      <c r="B80" s="1672" t="s">
        <v>76</v>
      </c>
      <c r="C80" s="1098">
        <f>SUMIF($L$6:$L$79,$L80,C$6:C$79)</f>
        <v>54.99</v>
      </c>
      <c r="D80" s="1097">
        <f>SUMIF($L$6:$L$79,$L80,D$6:D$79)</f>
        <v>798.87200000000007</v>
      </c>
      <c r="E80" s="1097">
        <f>SUM(C80:D80)</f>
        <v>853.86200000000008</v>
      </c>
      <c r="F80" s="1098">
        <v>60.897000000000006</v>
      </c>
      <c r="G80" s="1097">
        <v>888.89599999999984</v>
      </c>
      <c r="H80" s="1097">
        <v>949.79299999999989</v>
      </c>
      <c r="I80" s="1098">
        <v>60.254329153</v>
      </c>
      <c r="J80" s="1097">
        <v>930.02136782300011</v>
      </c>
      <c r="K80" s="1295">
        <v>990.27569697600006</v>
      </c>
      <c r="L80" s="903" t="s">
        <v>325</v>
      </c>
    </row>
    <row r="81" spans="1:12" s="889" customFormat="1" ht="15" customHeight="1">
      <c r="A81" s="1095" t="s">
        <v>100</v>
      </c>
      <c r="B81" s="1672"/>
      <c r="C81" s="1098">
        <f>SUMIF($L$6:$L$79,$L81,C$6:C$79)</f>
        <v>5.7690000000000001</v>
      </c>
      <c r="D81" s="1097">
        <f>SUMIF($L$6:$L$79,$L81,D$6:D$79)</f>
        <v>33.56</v>
      </c>
      <c r="E81" s="1097">
        <f>SUM(C81:D81)</f>
        <v>39.329000000000001</v>
      </c>
      <c r="F81" s="1098">
        <v>5.9239999999999995</v>
      </c>
      <c r="G81" s="1097">
        <v>42.108999999999995</v>
      </c>
      <c r="H81" s="1097">
        <v>48.032999999999994</v>
      </c>
      <c r="I81" s="1098">
        <v>6.2152678599999991</v>
      </c>
      <c r="J81" s="1097">
        <v>51.031629509999995</v>
      </c>
      <c r="K81" s="1295">
        <v>57.246897369999992</v>
      </c>
      <c r="L81" s="903" t="s">
        <v>326</v>
      </c>
    </row>
    <row r="82" spans="1:12" s="889" customFormat="1" ht="15" customHeight="1" thickBot="1">
      <c r="A82" s="1099" t="s">
        <v>141</v>
      </c>
      <c r="B82" s="1673"/>
      <c r="C82" s="1101">
        <f t="shared" ref="C82:E82" si="3">SUM(C80:C81)</f>
        <v>60.759</v>
      </c>
      <c r="D82" s="1100">
        <f t="shared" si="3"/>
        <v>832.43200000000002</v>
      </c>
      <c r="E82" s="1100">
        <f t="shared" si="3"/>
        <v>893.19100000000003</v>
      </c>
      <c r="F82" s="1101">
        <v>66.820999999999998</v>
      </c>
      <c r="G82" s="1100">
        <v>931.00499999999988</v>
      </c>
      <c r="H82" s="1100">
        <v>997.82599999999991</v>
      </c>
      <c r="I82" s="1101">
        <v>66.469597012999998</v>
      </c>
      <c r="J82" s="1100">
        <v>981.05299733300012</v>
      </c>
      <c r="K82" s="1296">
        <v>1047.522594346</v>
      </c>
      <c r="L82" s="926"/>
    </row>
    <row r="83" spans="1:12" ht="13.5" thickTop="1"/>
  </sheetData>
  <mergeCells count="15">
    <mergeCell ref="A1:K1"/>
    <mergeCell ref="A3:A4"/>
    <mergeCell ref="B3:B4"/>
    <mergeCell ref="F3:H3"/>
    <mergeCell ref="C3:E3"/>
    <mergeCell ref="A7:A21"/>
    <mergeCell ref="A23:A38"/>
    <mergeCell ref="I3:K3"/>
    <mergeCell ref="A50:A56"/>
    <mergeCell ref="A2:K2"/>
    <mergeCell ref="A58:A65"/>
    <mergeCell ref="A66:A68"/>
    <mergeCell ref="A70:A79"/>
    <mergeCell ref="B80:B82"/>
    <mergeCell ref="A39:A49"/>
  </mergeCells>
  <phoneticPr fontId="4" type="noConversion"/>
  <conditionalFormatting sqref="B7:B20">
    <cfRule type="duplicateValues" dxfId="3" priority="7"/>
  </conditionalFormatting>
  <conditionalFormatting sqref="B23:B36">
    <cfRule type="duplicateValues" dxfId="2" priority="3"/>
  </conditionalFormatting>
  <conditionalFormatting sqref="B37">
    <cfRule type="duplicateValues" dxfId="1" priority="1"/>
  </conditionalFormatting>
  <conditionalFormatting sqref="B58:B64">
    <cfRule type="duplicateValues" dxfId="0" priority="6"/>
  </conditionalFormatting>
  <printOptions horizontalCentered="1"/>
  <pageMargins left="0.39370078740157483" right="0.39370078740157483" top="0.56999999999999995" bottom="0.39370078740157483" header="0.19685039370078741" footer="0.19685039370078741"/>
  <pageSetup paperSize="9" scale="95" firstPageNumber="16" orientation="portrait" useFirstPageNumber="1" r:id="rId1"/>
  <headerFooter scaleWithDoc="0" alignWithMargins="0"/>
  <rowBreaks count="1" manualBreakCount="1">
    <brk id="5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rgb="FF00B050"/>
  </sheetPr>
  <dimension ref="A1:M24"/>
  <sheetViews>
    <sheetView zoomScaleNormal="100" zoomScaleSheetLayoutView="62" workbookViewId="0">
      <pane xSplit="1" ySplit="4" topLeftCell="B5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H10" sqref="H10"/>
    </sheetView>
  </sheetViews>
  <sheetFormatPr defaultColWidth="9.140625" defaultRowHeight="12.75"/>
  <cols>
    <col min="1" max="1" width="18.28515625" style="171" customWidth="1"/>
    <col min="2" max="4" width="14.5703125" style="171" customWidth="1"/>
    <col min="5" max="5" width="3.7109375" style="171" customWidth="1"/>
    <col min="6" max="6" width="13.140625" style="171" bestFit="1" customWidth="1"/>
    <col min="7" max="16384" width="9.140625" style="171"/>
  </cols>
  <sheetData>
    <row r="1" spans="1:4" ht="27.75" customHeight="1">
      <c r="A1" s="1687" t="s">
        <v>544</v>
      </c>
      <c r="B1" s="1688"/>
      <c r="C1" s="1688"/>
      <c r="D1" s="1688"/>
    </row>
    <row r="2" spans="1:4" ht="18.2" customHeight="1">
      <c r="A2" s="1689" t="s">
        <v>417</v>
      </c>
      <c r="B2" s="1690"/>
      <c r="C2" s="1690"/>
      <c r="D2" s="1690"/>
    </row>
    <row r="3" spans="1:4" s="168" customFormat="1" ht="27" customHeight="1">
      <c r="A3" s="1167" t="s">
        <v>160</v>
      </c>
      <c r="B3" s="1231" t="s">
        <v>431</v>
      </c>
      <c r="C3" s="1231" t="s">
        <v>504</v>
      </c>
      <c r="D3" s="1229" t="s">
        <v>538</v>
      </c>
    </row>
    <row r="4" spans="1:4" s="203" customFormat="1" ht="24" customHeight="1">
      <c r="A4" s="945" t="s">
        <v>162</v>
      </c>
      <c r="B4" s="946" t="s">
        <v>165</v>
      </c>
      <c r="C4" s="946" t="s">
        <v>166</v>
      </c>
      <c r="D4" s="1428" t="s">
        <v>167</v>
      </c>
    </row>
    <row r="5" spans="1:4" s="599" customFormat="1" ht="18" customHeight="1">
      <c r="A5" s="1235" t="s">
        <v>107</v>
      </c>
      <c r="B5" s="208"/>
      <c r="C5" s="208"/>
      <c r="D5" s="995"/>
    </row>
    <row r="6" spans="1:4" s="168" customFormat="1" ht="21" customHeight="1">
      <c r="A6" s="284" t="s">
        <v>111</v>
      </c>
      <c r="B6" s="1230">
        <v>0.247</v>
      </c>
      <c r="C6" s="1230">
        <v>0.216</v>
      </c>
      <c r="D6" s="1297">
        <v>0.22267000000000001</v>
      </c>
    </row>
    <row r="7" spans="1:4" s="168" customFormat="1" ht="21" customHeight="1">
      <c r="A7" s="285" t="s">
        <v>112</v>
      </c>
      <c r="B7" s="1232">
        <v>60.417999999999999</v>
      </c>
      <c r="C7" s="1232">
        <v>66.568999999999988</v>
      </c>
      <c r="D7" s="1298">
        <v>66.11711101299997</v>
      </c>
    </row>
    <row r="8" spans="1:4" s="168" customFormat="1" ht="21" customHeight="1">
      <c r="A8" s="285" t="s">
        <v>138</v>
      </c>
      <c r="B8" s="1232">
        <v>9.4E-2</v>
      </c>
      <c r="C8" s="1232">
        <v>3.5999999999999997E-2</v>
      </c>
      <c r="D8" s="1298">
        <v>0</v>
      </c>
    </row>
    <row r="9" spans="1:4" s="168" customFormat="1" ht="21" customHeight="1">
      <c r="A9" s="598" t="s">
        <v>140</v>
      </c>
      <c r="B9" s="1233">
        <v>0</v>
      </c>
      <c r="C9" s="1233">
        <v>0</v>
      </c>
      <c r="D9" s="1299">
        <v>0.12981600000000001</v>
      </c>
    </row>
    <row r="10" spans="1:4" s="169" customFormat="1" ht="21" customHeight="1">
      <c r="A10" s="1086" t="s">
        <v>146</v>
      </c>
      <c r="B10" s="1234">
        <v>60.759</v>
      </c>
      <c r="C10" s="1234">
        <v>66.820999999999984</v>
      </c>
      <c r="D10" s="1300">
        <v>66.469597012999969</v>
      </c>
    </row>
    <row r="11" spans="1:4" s="168" customFormat="1" ht="21" customHeight="1">
      <c r="A11" s="1235" t="s">
        <v>108</v>
      </c>
      <c r="B11" s="208"/>
      <c r="C11" s="208"/>
      <c r="D11" s="995"/>
    </row>
    <row r="12" spans="1:4" s="168" customFormat="1" ht="21" customHeight="1">
      <c r="A12" s="285" t="s">
        <v>110</v>
      </c>
      <c r="B12" s="1232">
        <v>0.2</v>
      </c>
      <c r="C12" s="1232">
        <v>0.2</v>
      </c>
      <c r="D12" s="1298">
        <v>0.2</v>
      </c>
    </row>
    <row r="13" spans="1:4" s="168" customFormat="1" ht="21" customHeight="1">
      <c r="A13" s="285" t="s">
        <v>111</v>
      </c>
      <c r="B13" s="1232">
        <v>184.648</v>
      </c>
      <c r="C13" s="1232">
        <v>207.03899999999996</v>
      </c>
      <c r="D13" s="1298">
        <v>204.73000373999992</v>
      </c>
    </row>
    <row r="14" spans="1:4" s="168" customFormat="1" ht="21" customHeight="1">
      <c r="A14" s="285" t="s">
        <v>137</v>
      </c>
      <c r="B14" s="1232">
        <v>0.01</v>
      </c>
      <c r="C14" s="1232">
        <v>8.0000000000000002E-3</v>
      </c>
      <c r="D14" s="1298">
        <v>1.0232E-2</v>
      </c>
    </row>
    <row r="15" spans="1:4" s="168" customFormat="1" ht="21" customHeight="1">
      <c r="A15" s="285" t="s">
        <v>112</v>
      </c>
      <c r="B15" s="1232">
        <v>96.064999999999998</v>
      </c>
      <c r="C15" s="1232">
        <v>124.589</v>
      </c>
      <c r="D15" s="1298">
        <v>140.07525476499995</v>
      </c>
    </row>
    <row r="16" spans="1:4" s="168" customFormat="1" ht="21" customHeight="1">
      <c r="A16" s="285" t="s">
        <v>138</v>
      </c>
      <c r="B16" s="1232">
        <v>145.93500000000006</v>
      </c>
      <c r="C16" s="1232">
        <v>159.19200000000004</v>
      </c>
      <c r="D16" s="1298">
        <v>167.57108791999997</v>
      </c>
    </row>
    <row r="17" spans="1:13" s="168" customFormat="1" ht="21" customHeight="1">
      <c r="A17" s="285" t="s">
        <v>113</v>
      </c>
      <c r="B17" s="1232">
        <v>63.62</v>
      </c>
      <c r="C17" s="1232">
        <v>69.281999999999996</v>
      </c>
      <c r="D17" s="1298">
        <v>70.781134621000049</v>
      </c>
    </row>
    <row r="18" spans="1:13" s="168" customFormat="1" ht="21" customHeight="1">
      <c r="A18" s="285" t="s">
        <v>265</v>
      </c>
      <c r="B18" s="1232">
        <v>218.98100000000002</v>
      </c>
      <c r="C18" s="1232">
        <v>239.40199999999999</v>
      </c>
      <c r="D18" s="1298">
        <v>269.36346032300008</v>
      </c>
    </row>
    <row r="19" spans="1:13" s="168" customFormat="1" ht="21" customHeight="1">
      <c r="A19" s="285" t="s">
        <v>284</v>
      </c>
      <c r="B19" s="1232">
        <v>69.637</v>
      </c>
      <c r="C19" s="1232">
        <v>72.521000000000001</v>
      </c>
      <c r="D19" s="1298">
        <v>71.506396056000028</v>
      </c>
    </row>
    <row r="20" spans="1:13" s="168" customFormat="1" ht="21" customHeight="1">
      <c r="A20" s="285" t="s">
        <v>139</v>
      </c>
      <c r="B20" s="1232">
        <v>20.54</v>
      </c>
      <c r="C20" s="1232">
        <v>21.51</v>
      </c>
      <c r="D20" s="1298">
        <v>20.856285889999999</v>
      </c>
    </row>
    <row r="21" spans="1:13" s="168" customFormat="1" ht="21" customHeight="1">
      <c r="A21" s="598" t="s">
        <v>140</v>
      </c>
      <c r="B21" s="1233">
        <v>32.795999999999999</v>
      </c>
      <c r="C21" s="1233">
        <v>37.262000000000008</v>
      </c>
      <c r="D21" s="1299">
        <v>35.959142018000023</v>
      </c>
    </row>
    <row r="22" spans="1:13" s="169" customFormat="1" ht="21" customHeight="1">
      <c r="A22" s="1086" t="s">
        <v>161</v>
      </c>
      <c r="B22" s="952">
        <v>832.43200000000002</v>
      </c>
      <c r="C22" s="952">
        <v>931.005</v>
      </c>
      <c r="D22" s="1301">
        <v>981.05299733300012</v>
      </c>
    </row>
    <row r="23" spans="1:13" s="169" customFormat="1" ht="21" customHeight="1" thickBot="1">
      <c r="A23" s="953" t="s">
        <v>149</v>
      </c>
      <c r="B23" s="956">
        <v>893.19100000000003</v>
      </c>
      <c r="C23" s="956">
        <v>997.82600000000002</v>
      </c>
      <c r="D23" s="1302">
        <v>1047.522594346</v>
      </c>
      <c r="F23" s="168"/>
      <c r="G23" s="168"/>
      <c r="H23" s="168"/>
      <c r="I23" s="168"/>
      <c r="J23" s="168"/>
      <c r="K23" s="168"/>
      <c r="L23" s="168"/>
      <c r="M23" s="168"/>
    </row>
    <row r="24" spans="1:13" ht="13.5" thickTop="1"/>
  </sheetData>
  <mergeCells count="2">
    <mergeCell ref="A1:D1"/>
    <mergeCell ref="A2:D2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16" orientation="portrait" useFirstPageNumber="1" r:id="rId1"/>
  <headerFooter scaleWithDoc="0" alignWithMargins="0"/>
  <colBreaks count="1" manualBreakCount="1">
    <brk id="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tabColor rgb="FF00B050"/>
  </sheetPr>
  <dimension ref="A1:I210"/>
  <sheetViews>
    <sheetView zoomScale="106" zoomScaleNormal="106" workbookViewId="0">
      <pane xSplit="2" ySplit="183" topLeftCell="C199" activePane="bottomRight" state="frozen"/>
      <selection pane="topRight" activeCell="C1" sqref="C1"/>
      <selection pane="bottomLeft" activeCell="A184" sqref="A184"/>
      <selection pane="bottomRight" activeCell="M211" sqref="M211"/>
    </sheetView>
  </sheetViews>
  <sheetFormatPr defaultColWidth="9.140625" defaultRowHeight="12.75" customHeight="1"/>
  <cols>
    <col min="1" max="1" width="10" style="203" customWidth="1"/>
    <col min="2" max="2" width="11.140625" style="168" customWidth="1"/>
    <col min="3" max="9" width="10.5703125" style="167" customWidth="1"/>
    <col min="10" max="16384" width="9.140625" style="168"/>
  </cols>
  <sheetData>
    <row r="1" spans="1:9" ht="21.6" customHeight="1">
      <c r="A1" s="1694" t="s">
        <v>416</v>
      </c>
      <c r="B1" s="1695"/>
      <c r="C1" s="1695"/>
      <c r="D1" s="1695"/>
      <c r="E1" s="1695"/>
      <c r="F1" s="1695"/>
      <c r="G1" s="1695"/>
      <c r="H1" s="1695"/>
      <c r="I1" s="1696"/>
    </row>
    <row r="2" spans="1:9" ht="21.6" customHeight="1">
      <c r="A2" s="1691" t="s">
        <v>417</v>
      </c>
      <c r="B2" s="1692"/>
      <c r="C2" s="1692"/>
      <c r="D2" s="1692"/>
      <c r="E2" s="1692"/>
      <c r="F2" s="1692"/>
      <c r="G2" s="1692"/>
      <c r="H2" s="1692"/>
      <c r="I2" s="1693"/>
    </row>
    <row r="3" spans="1:9" s="203" customFormat="1" ht="43.15" customHeight="1">
      <c r="A3" s="718" t="s">
        <v>0</v>
      </c>
      <c r="B3" s="719" t="s">
        <v>52</v>
      </c>
      <c r="C3" s="720" t="s">
        <v>478</v>
      </c>
      <c r="D3" s="721" t="s">
        <v>479</v>
      </c>
      <c r="E3" s="721" t="s">
        <v>11</v>
      </c>
      <c r="F3" s="721" t="s">
        <v>143</v>
      </c>
      <c r="G3" s="721" t="s">
        <v>144</v>
      </c>
      <c r="H3" s="721" t="s">
        <v>480</v>
      </c>
      <c r="I3" s="722" t="s">
        <v>145</v>
      </c>
    </row>
    <row r="4" spans="1:9" s="203" customFormat="1" ht="15" customHeight="1">
      <c r="A4" s="723" t="s">
        <v>162</v>
      </c>
      <c r="B4" s="724" t="s">
        <v>163</v>
      </c>
      <c r="C4" s="725" t="s">
        <v>164</v>
      </c>
      <c r="D4" s="726" t="s">
        <v>165</v>
      </c>
      <c r="E4" s="726" t="s">
        <v>166</v>
      </c>
      <c r="F4" s="726" t="s">
        <v>167</v>
      </c>
      <c r="G4" s="727" t="s">
        <v>168</v>
      </c>
      <c r="H4" s="728" t="s">
        <v>169</v>
      </c>
      <c r="I4" s="729" t="s">
        <v>170</v>
      </c>
    </row>
    <row r="5" spans="1:9" ht="21.75" hidden="1" customHeight="1">
      <c r="A5" s="229" t="s">
        <v>13</v>
      </c>
      <c r="B5" s="207" t="s">
        <v>38</v>
      </c>
      <c r="C5" s="167">
        <v>3073.4</v>
      </c>
      <c r="D5" s="167">
        <v>2016.4</v>
      </c>
      <c r="E5" s="167">
        <v>91.2</v>
      </c>
      <c r="I5" s="302"/>
    </row>
    <row r="6" spans="1:9" ht="12.75" hidden="1" customHeight="1">
      <c r="A6" s="230"/>
      <c r="B6" s="207" t="s">
        <v>39</v>
      </c>
      <c r="C6" s="167">
        <v>2082</v>
      </c>
      <c r="D6" s="167">
        <v>2293</v>
      </c>
      <c r="I6" s="302"/>
    </row>
    <row r="7" spans="1:9" ht="12.75" hidden="1" customHeight="1">
      <c r="A7" s="230"/>
      <c r="B7" s="207" t="s">
        <v>41</v>
      </c>
      <c r="C7" s="167">
        <v>281</v>
      </c>
      <c r="D7" s="167">
        <v>255</v>
      </c>
      <c r="I7" s="302"/>
    </row>
    <row r="8" spans="1:9" ht="12.75" hidden="1" customHeight="1">
      <c r="A8" s="230"/>
      <c r="B8" s="207" t="s">
        <v>53</v>
      </c>
      <c r="F8" s="167">
        <v>65.3</v>
      </c>
      <c r="G8" s="167">
        <v>36.9</v>
      </c>
      <c r="H8" s="167">
        <v>52</v>
      </c>
      <c r="I8" s="302">
        <v>16.7</v>
      </c>
    </row>
    <row r="9" spans="1:9" ht="12.75" hidden="1" customHeight="1">
      <c r="A9" s="230"/>
      <c r="B9" s="207" t="s">
        <v>54</v>
      </c>
      <c r="C9" s="167">
        <v>563</v>
      </c>
      <c r="D9" s="167">
        <v>104.3</v>
      </c>
      <c r="E9" s="167">
        <v>9035.4</v>
      </c>
      <c r="I9" s="302"/>
    </row>
    <row r="10" spans="1:9" ht="12.75" hidden="1" customHeight="1">
      <c r="A10" s="230"/>
      <c r="B10" s="207" t="s">
        <v>98</v>
      </c>
      <c r="E10" s="167">
        <v>1680</v>
      </c>
      <c r="I10" s="302"/>
    </row>
    <row r="11" spans="1:9" ht="12.75" hidden="1" customHeight="1">
      <c r="A11" s="230"/>
      <c r="B11" s="207" t="s">
        <v>215</v>
      </c>
      <c r="C11" s="167">
        <v>2642.8</v>
      </c>
      <c r="D11" s="167">
        <v>1610.6</v>
      </c>
      <c r="E11" s="167">
        <v>2574.1</v>
      </c>
      <c r="I11" s="302"/>
    </row>
    <row r="12" spans="1:9" ht="12.75" hidden="1" customHeight="1">
      <c r="A12" s="230"/>
      <c r="B12" s="207" t="s">
        <v>55</v>
      </c>
      <c r="I12" s="302"/>
    </row>
    <row r="13" spans="1:9" s="169" customFormat="1" ht="12.75" hidden="1" customHeight="1">
      <c r="A13" s="286"/>
      <c r="B13" s="232" t="s">
        <v>16</v>
      </c>
      <c r="C13" s="220">
        <f t="shared" ref="C13:I13" si="0">SUM(C5:C12)</f>
        <v>8642.2000000000007</v>
      </c>
      <c r="D13" s="220">
        <f t="shared" si="0"/>
        <v>6279.2999999999993</v>
      </c>
      <c r="E13" s="220">
        <f t="shared" si="0"/>
        <v>13380.7</v>
      </c>
      <c r="F13" s="220">
        <f t="shared" si="0"/>
        <v>65.3</v>
      </c>
      <c r="G13" s="220">
        <f t="shared" si="0"/>
        <v>36.9</v>
      </c>
      <c r="H13" s="220">
        <f t="shared" si="0"/>
        <v>52</v>
      </c>
      <c r="I13" s="686">
        <f t="shared" si="0"/>
        <v>16.7</v>
      </c>
    </row>
    <row r="14" spans="1:9" s="169" customFormat="1" ht="15" hidden="1" customHeight="1">
      <c r="A14" s="229" t="s">
        <v>14</v>
      </c>
      <c r="B14" s="207" t="s">
        <v>38</v>
      </c>
      <c r="C14" s="167">
        <v>2339.1999999999998</v>
      </c>
      <c r="D14" s="167">
        <v>1534.8</v>
      </c>
      <c r="E14" s="167">
        <v>94.6</v>
      </c>
      <c r="F14" s="167"/>
      <c r="G14" s="167"/>
      <c r="H14" s="167"/>
      <c r="I14" s="302"/>
    </row>
    <row r="15" spans="1:9" s="169" customFormat="1" ht="15" hidden="1" customHeight="1">
      <c r="A15" s="230"/>
      <c r="B15" s="207" t="s">
        <v>39</v>
      </c>
      <c r="C15" s="167">
        <v>2016</v>
      </c>
      <c r="D15" s="167">
        <v>1413.7</v>
      </c>
      <c r="E15" s="167"/>
      <c r="F15" s="167"/>
      <c r="G15" s="167"/>
      <c r="H15" s="167"/>
      <c r="I15" s="302"/>
    </row>
    <row r="16" spans="1:9" s="169" customFormat="1" ht="15" hidden="1" customHeight="1">
      <c r="A16" s="230"/>
      <c r="B16" s="207" t="s">
        <v>41</v>
      </c>
      <c r="C16" s="167">
        <v>258</v>
      </c>
      <c r="D16" s="167">
        <v>216</v>
      </c>
      <c r="E16" s="167"/>
      <c r="F16" s="167"/>
      <c r="G16" s="167"/>
      <c r="H16" s="167"/>
      <c r="I16" s="302"/>
    </row>
    <row r="17" spans="1:9" s="169" customFormat="1" ht="15" hidden="1" customHeight="1">
      <c r="A17" s="230"/>
      <c r="B17" s="207" t="s">
        <v>53</v>
      </c>
      <c r="C17" s="167"/>
      <c r="D17" s="167"/>
      <c r="E17" s="167"/>
      <c r="F17" s="167">
        <v>51</v>
      </c>
      <c r="G17" s="167">
        <v>44.1</v>
      </c>
      <c r="H17" s="167">
        <v>40.299999999999997</v>
      </c>
      <c r="I17" s="302">
        <v>94</v>
      </c>
    </row>
    <row r="18" spans="1:9" ht="15" hidden="1" customHeight="1">
      <c r="A18" s="230"/>
      <c r="B18" s="207" t="s">
        <v>54</v>
      </c>
      <c r="C18" s="167">
        <v>567.5</v>
      </c>
      <c r="D18" s="167">
        <v>70.5</v>
      </c>
      <c r="E18" s="167">
        <v>8987.9</v>
      </c>
      <c r="I18" s="302"/>
    </row>
    <row r="19" spans="1:9" ht="15" hidden="1" customHeight="1">
      <c r="A19" s="230"/>
      <c r="B19" s="207" t="s">
        <v>105</v>
      </c>
      <c r="E19" s="167">
        <v>1829</v>
      </c>
      <c r="I19" s="302"/>
    </row>
    <row r="20" spans="1:9" ht="15" hidden="1" customHeight="1">
      <c r="A20" s="230"/>
      <c r="B20" s="207" t="s">
        <v>215</v>
      </c>
      <c r="C20" s="167">
        <v>2831.6</v>
      </c>
      <c r="D20" s="167">
        <v>1672.6</v>
      </c>
      <c r="E20" s="167">
        <v>2646.4</v>
      </c>
      <c r="I20" s="302"/>
    </row>
    <row r="21" spans="1:9" ht="15" hidden="1" customHeight="1">
      <c r="A21" s="230"/>
      <c r="B21" s="207" t="s">
        <v>55</v>
      </c>
      <c r="I21" s="302"/>
    </row>
    <row r="22" spans="1:9" s="169" customFormat="1" ht="9" hidden="1" customHeight="1">
      <c r="A22" s="287"/>
      <c r="B22" s="218" t="s">
        <v>16</v>
      </c>
      <c r="C22" s="213">
        <f t="shared" ref="C22:I22" si="1">SUM(C14:C21)</f>
        <v>8012.2999999999993</v>
      </c>
      <c r="D22" s="213">
        <f t="shared" si="1"/>
        <v>4907.6000000000004</v>
      </c>
      <c r="E22" s="213">
        <f t="shared" si="1"/>
        <v>13557.9</v>
      </c>
      <c r="F22" s="213">
        <f t="shared" si="1"/>
        <v>51</v>
      </c>
      <c r="G22" s="213">
        <f t="shared" si="1"/>
        <v>44.1</v>
      </c>
      <c r="H22" s="213">
        <f t="shared" si="1"/>
        <v>40.299999999999997</v>
      </c>
      <c r="I22" s="604">
        <f t="shared" si="1"/>
        <v>94</v>
      </c>
    </row>
    <row r="23" spans="1:9" ht="15" hidden="1" customHeight="1">
      <c r="A23" s="229" t="s">
        <v>92</v>
      </c>
      <c r="B23" s="207" t="s">
        <v>38</v>
      </c>
      <c r="C23" s="167">
        <v>2164</v>
      </c>
      <c r="D23" s="167">
        <v>1383</v>
      </c>
      <c r="E23" s="167">
        <v>61</v>
      </c>
      <c r="I23" s="302"/>
    </row>
    <row r="24" spans="1:9" ht="15" hidden="1" customHeight="1">
      <c r="A24" s="229"/>
      <c r="B24" s="207" t="s">
        <v>39</v>
      </c>
      <c r="C24" s="167">
        <v>2175</v>
      </c>
      <c r="D24" s="167">
        <v>1643</v>
      </c>
      <c r="I24" s="302"/>
    </row>
    <row r="25" spans="1:9" ht="15" hidden="1" customHeight="1">
      <c r="A25" s="231"/>
      <c r="B25" s="207" t="s">
        <v>41</v>
      </c>
      <c r="C25" s="167">
        <v>288</v>
      </c>
      <c r="D25" s="167">
        <v>226</v>
      </c>
      <c r="I25" s="302"/>
    </row>
    <row r="26" spans="1:9" ht="15" hidden="1" customHeight="1">
      <c r="A26" s="231"/>
      <c r="B26" s="207" t="s">
        <v>53</v>
      </c>
      <c r="F26" s="167">
        <v>32.6</v>
      </c>
      <c r="G26" s="167">
        <v>50.9</v>
      </c>
      <c r="H26" s="167">
        <v>32.299999999999997</v>
      </c>
      <c r="I26" s="302">
        <v>47.6</v>
      </c>
    </row>
    <row r="27" spans="1:9" ht="15" hidden="1" customHeight="1">
      <c r="A27" s="231"/>
      <c r="B27" s="207" t="s">
        <v>54</v>
      </c>
      <c r="C27" s="167">
        <v>520</v>
      </c>
      <c r="D27" s="167">
        <v>102</v>
      </c>
      <c r="E27" s="167">
        <v>9444</v>
      </c>
      <c r="I27" s="302"/>
    </row>
    <row r="28" spans="1:9" ht="15" hidden="1" customHeight="1">
      <c r="A28" s="231"/>
      <c r="B28" s="207" t="s">
        <v>105</v>
      </c>
      <c r="E28" s="167">
        <v>1768</v>
      </c>
      <c r="I28" s="302"/>
    </row>
    <row r="29" spans="1:9" ht="15" hidden="1" customHeight="1">
      <c r="A29" s="231"/>
      <c r="B29" s="207" t="s">
        <v>215</v>
      </c>
      <c r="C29" s="167">
        <v>3057</v>
      </c>
      <c r="D29" s="167">
        <v>1607</v>
      </c>
      <c r="E29" s="167">
        <v>2644</v>
      </c>
      <c r="I29" s="302"/>
    </row>
    <row r="30" spans="1:9" ht="15" hidden="1" customHeight="1">
      <c r="A30" s="231"/>
      <c r="B30" s="207" t="s">
        <v>55</v>
      </c>
      <c r="I30" s="302"/>
    </row>
    <row r="31" spans="1:9" ht="15" hidden="1" customHeight="1">
      <c r="A31" s="288"/>
      <c r="B31" s="218" t="s">
        <v>16</v>
      </c>
      <c r="C31" s="213">
        <f t="shared" ref="C31:I31" si="2">SUM(C23:C30)</f>
        <v>8204</v>
      </c>
      <c r="D31" s="213">
        <f t="shared" si="2"/>
        <v>4961</v>
      </c>
      <c r="E31" s="213">
        <f t="shared" si="2"/>
        <v>13917</v>
      </c>
      <c r="F31" s="213">
        <f t="shared" si="2"/>
        <v>32.6</v>
      </c>
      <c r="G31" s="213">
        <f t="shared" si="2"/>
        <v>50.9</v>
      </c>
      <c r="H31" s="213">
        <f t="shared" si="2"/>
        <v>32.299999999999997</v>
      </c>
      <c r="I31" s="604">
        <f t="shared" si="2"/>
        <v>47.6</v>
      </c>
    </row>
    <row r="33" spans="1:9" ht="15" hidden="1" customHeight="1">
      <c r="A33" s="229" t="s">
        <v>103</v>
      </c>
      <c r="B33" s="207" t="s">
        <v>38</v>
      </c>
      <c r="C33" s="167">
        <v>1861</v>
      </c>
      <c r="D33" s="167">
        <v>960</v>
      </c>
      <c r="E33" s="167">
        <v>42</v>
      </c>
      <c r="I33" s="302"/>
    </row>
    <row r="34" spans="1:9" ht="15" hidden="1" customHeight="1">
      <c r="A34" s="229"/>
      <c r="B34" s="207" t="s">
        <v>39</v>
      </c>
      <c r="C34" s="167">
        <v>2364</v>
      </c>
      <c r="D34" s="167">
        <v>1841</v>
      </c>
      <c r="I34" s="302"/>
    </row>
    <row r="35" spans="1:9" ht="15" hidden="1" customHeight="1">
      <c r="A35" s="231"/>
      <c r="B35" s="207" t="s">
        <v>41</v>
      </c>
      <c r="C35" s="167">
        <v>320</v>
      </c>
      <c r="D35" s="167">
        <v>220</v>
      </c>
      <c r="I35" s="302"/>
    </row>
    <row r="36" spans="1:9" ht="15" hidden="1" customHeight="1">
      <c r="A36" s="231"/>
      <c r="B36" s="207" t="s">
        <v>53</v>
      </c>
      <c r="F36" s="167">
        <v>6</v>
      </c>
      <c r="G36" s="167">
        <v>90</v>
      </c>
      <c r="H36" s="167">
        <v>35</v>
      </c>
      <c r="I36" s="302">
        <v>57</v>
      </c>
    </row>
    <row r="37" spans="1:9" ht="15" hidden="1" customHeight="1">
      <c r="A37" s="231"/>
      <c r="B37" s="207" t="s">
        <v>54</v>
      </c>
      <c r="C37" s="167">
        <v>555</v>
      </c>
      <c r="D37" s="167">
        <v>71</v>
      </c>
      <c r="E37" s="167">
        <v>8798</v>
      </c>
      <c r="I37" s="302"/>
    </row>
    <row r="38" spans="1:9" ht="15" hidden="1" customHeight="1">
      <c r="A38" s="231"/>
      <c r="B38" s="207" t="s">
        <v>104</v>
      </c>
      <c r="E38" s="167">
        <v>2096</v>
      </c>
      <c r="I38" s="302"/>
    </row>
    <row r="39" spans="1:9" ht="15" hidden="1" customHeight="1">
      <c r="A39" s="231"/>
      <c r="B39" s="207" t="s">
        <v>215</v>
      </c>
      <c r="C39" s="167">
        <v>3101</v>
      </c>
      <c r="D39" s="167">
        <v>1757</v>
      </c>
      <c r="E39" s="167">
        <v>2185</v>
      </c>
      <c r="I39" s="302"/>
    </row>
    <row r="40" spans="1:9" ht="15" hidden="1" customHeight="1">
      <c r="A40" s="288"/>
      <c r="B40" s="218" t="s">
        <v>16</v>
      </c>
      <c r="C40" s="213">
        <f t="shared" ref="C40:I40" si="3">SUM(C33:C39)</f>
        <v>8201</v>
      </c>
      <c r="D40" s="213">
        <f t="shared" si="3"/>
        <v>4849</v>
      </c>
      <c r="E40" s="213">
        <f t="shared" si="3"/>
        <v>13121</v>
      </c>
      <c r="F40" s="213">
        <f t="shared" si="3"/>
        <v>6</v>
      </c>
      <c r="G40" s="213">
        <f t="shared" si="3"/>
        <v>90</v>
      </c>
      <c r="H40" s="213">
        <f t="shared" si="3"/>
        <v>35</v>
      </c>
      <c r="I40" s="604">
        <f t="shared" si="3"/>
        <v>57</v>
      </c>
    </row>
    <row r="41" spans="1:9" ht="15" hidden="1" customHeight="1">
      <c r="A41" s="289"/>
      <c r="B41" s="233"/>
      <c r="C41" s="170"/>
      <c r="D41" s="170"/>
      <c r="E41" s="170"/>
      <c r="F41" s="170"/>
      <c r="G41" s="170"/>
      <c r="H41" s="170"/>
      <c r="I41" s="236"/>
    </row>
    <row r="42" spans="1:9" ht="15" hidden="1" customHeight="1">
      <c r="A42" s="229" t="s">
        <v>109</v>
      </c>
      <c r="B42" s="207" t="s">
        <v>38</v>
      </c>
      <c r="C42" s="167">
        <v>1866</v>
      </c>
      <c r="D42" s="167">
        <v>955</v>
      </c>
      <c r="E42" s="167">
        <v>39</v>
      </c>
      <c r="I42" s="302"/>
    </row>
    <row r="43" spans="1:9" ht="15" hidden="1" customHeight="1">
      <c r="A43" s="229"/>
      <c r="B43" s="207" t="s">
        <v>39</v>
      </c>
      <c r="C43" s="167">
        <v>2645</v>
      </c>
      <c r="D43" s="167">
        <v>1987</v>
      </c>
      <c r="I43" s="302"/>
    </row>
    <row r="44" spans="1:9" ht="15" hidden="1" customHeight="1">
      <c r="A44" s="231"/>
      <c r="B44" s="207" t="s">
        <v>41</v>
      </c>
      <c r="C44" s="167">
        <v>345</v>
      </c>
      <c r="D44" s="167">
        <v>244</v>
      </c>
      <c r="I44" s="302"/>
    </row>
    <row r="45" spans="1:9" ht="15" hidden="1" customHeight="1">
      <c r="A45" s="231"/>
      <c r="B45" s="207" t="s">
        <v>53</v>
      </c>
      <c r="F45" s="167">
        <v>17.2</v>
      </c>
      <c r="G45" s="167">
        <v>63.9</v>
      </c>
      <c r="I45" s="302">
        <v>57.1</v>
      </c>
    </row>
    <row r="46" spans="1:9" ht="15" hidden="1" customHeight="1">
      <c r="A46" s="231"/>
      <c r="B46" s="207" t="s">
        <v>54</v>
      </c>
      <c r="C46" s="167">
        <v>654</v>
      </c>
      <c r="D46" s="167">
        <v>71</v>
      </c>
      <c r="E46" s="167">
        <v>8240</v>
      </c>
      <c r="I46" s="302"/>
    </row>
    <row r="47" spans="1:9" ht="15" hidden="1" customHeight="1">
      <c r="A47" s="231"/>
      <c r="B47" s="207" t="s">
        <v>104</v>
      </c>
      <c r="E47" s="167">
        <v>2246</v>
      </c>
      <c r="I47" s="302"/>
    </row>
    <row r="48" spans="1:9" ht="15" hidden="1" customHeight="1">
      <c r="A48" s="231"/>
      <c r="B48" s="207" t="s">
        <v>215</v>
      </c>
      <c r="C48" s="167">
        <v>3280</v>
      </c>
      <c r="D48" s="167">
        <v>1911</v>
      </c>
      <c r="E48" s="167">
        <v>2148</v>
      </c>
      <c r="I48" s="302"/>
    </row>
    <row r="49" spans="1:9" ht="15" hidden="1" customHeight="1">
      <c r="A49" s="288"/>
      <c r="B49" s="218" t="s">
        <v>16</v>
      </c>
      <c r="C49" s="213">
        <f t="shared" ref="C49:I49" si="4">SUM(C42:C48)</f>
        <v>8790</v>
      </c>
      <c r="D49" s="213">
        <f t="shared" si="4"/>
        <v>5168</v>
      </c>
      <c r="E49" s="213">
        <f t="shared" si="4"/>
        <v>12673</v>
      </c>
      <c r="F49" s="213">
        <f t="shared" si="4"/>
        <v>17.2</v>
      </c>
      <c r="G49" s="213">
        <f t="shared" si="4"/>
        <v>63.9</v>
      </c>
      <c r="H49" s="213">
        <f t="shared" si="4"/>
        <v>0</v>
      </c>
      <c r="I49" s="604">
        <f t="shared" si="4"/>
        <v>57.1</v>
      </c>
    </row>
    <row r="50" spans="1:9" ht="15" hidden="1" customHeight="1">
      <c r="A50" s="289"/>
      <c r="B50" s="233"/>
      <c r="C50" s="170"/>
      <c r="D50" s="170"/>
      <c r="E50" s="170"/>
      <c r="F50" s="170"/>
      <c r="G50" s="170"/>
      <c r="H50" s="170"/>
      <c r="I50" s="236"/>
    </row>
    <row r="51" spans="1:9" ht="21.4" hidden="1" customHeight="1">
      <c r="A51" s="229" t="s">
        <v>126</v>
      </c>
      <c r="B51" s="207" t="s">
        <v>38</v>
      </c>
      <c r="C51" s="167">
        <v>2290</v>
      </c>
      <c r="D51" s="167">
        <v>1074</v>
      </c>
      <c r="E51" s="167">
        <v>39</v>
      </c>
      <c r="I51" s="302"/>
    </row>
    <row r="52" spans="1:9" ht="21.4" hidden="1" customHeight="1">
      <c r="A52" s="229"/>
      <c r="B52" s="207" t="s">
        <v>39</v>
      </c>
      <c r="C52" s="167">
        <v>2289</v>
      </c>
      <c r="D52" s="167">
        <v>1873</v>
      </c>
      <c r="I52" s="302"/>
    </row>
    <row r="53" spans="1:9" ht="21.4" hidden="1" customHeight="1">
      <c r="A53" s="229"/>
      <c r="B53" s="207" t="s">
        <v>40</v>
      </c>
      <c r="I53" s="302"/>
    </row>
    <row r="54" spans="1:9" ht="21.4" hidden="1" customHeight="1">
      <c r="A54" s="231"/>
      <c r="B54" s="207" t="s">
        <v>41</v>
      </c>
      <c r="C54" s="167">
        <v>404</v>
      </c>
      <c r="D54" s="167">
        <v>311</v>
      </c>
      <c r="I54" s="302"/>
    </row>
    <row r="55" spans="1:9" ht="21.4" hidden="1" customHeight="1">
      <c r="A55" s="231"/>
      <c r="B55" s="207" t="s">
        <v>53</v>
      </c>
      <c r="F55" s="167">
        <v>24.5</v>
      </c>
      <c r="G55" s="167">
        <v>60.4</v>
      </c>
      <c r="H55" s="167">
        <v>44.6</v>
      </c>
      <c r="I55" s="302">
        <v>88</v>
      </c>
    </row>
    <row r="56" spans="1:9" ht="21.4" hidden="1" customHeight="1">
      <c r="A56" s="231"/>
      <c r="B56" s="207" t="s">
        <v>54</v>
      </c>
      <c r="C56" s="167">
        <v>306</v>
      </c>
      <c r="D56" s="167">
        <v>48</v>
      </c>
      <c r="E56" s="167">
        <v>8880</v>
      </c>
      <c r="I56" s="302"/>
    </row>
    <row r="57" spans="1:9" ht="21.4" hidden="1" customHeight="1">
      <c r="A57" s="231"/>
      <c r="B57" s="207" t="s">
        <v>104</v>
      </c>
      <c r="E57" s="167">
        <v>2358</v>
      </c>
      <c r="I57" s="302"/>
    </row>
    <row r="58" spans="1:9" ht="21.4" hidden="1" customHeight="1">
      <c r="A58" s="231"/>
      <c r="B58" s="207" t="s">
        <v>215</v>
      </c>
      <c r="C58" s="167">
        <v>3087</v>
      </c>
      <c r="D58" s="167">
        <v>2276</v>
      </c>
      <c r="E58" s="167">
        <v>2070</v>
      </c>
      <c r="I58" s="302"/>
    </row>
    <row r="59" spans="1:9" ht="21.4" hidden="1" customHeight="1">
      <c r="A59" s="288"/>
      <c r="B59" s="218" t="s">
        <v>16</v>
      </c>
      <c r="C59" s="214">
        <f t="shared" ref="C59:I59" si="5">SUM(C51:C58)</f>
        <v>8376</v>
      </c>
      <c r="D59" s="215">
        <f t="shared" si="5"/>
        <v>5582</v>
      </c>
      <c r="E59" s="215">
        <f t="shared" si="5"/>
        <v>13347</v>
      </c>
      <c r="F59" s="215">
        <f t="shared" si="5"/>
        <v>24.5</v>
      </c>
      <c r="G59" s="215">
        <f t="shared" si="5"/>
        <v>60.4</v>
      </c>
      <c r="H59" s="215">
        <f t="shared" si="5"/>
        <v>44.6</v>
      </c>
      <c r="I59" s="687">
        <f t="shared" si="5"/>
        <v>88</v>
      </c>
    </row>
    <row r="60" spans="1:9" ht="21.4" hidden="1" customHeight="1">
      <c r="A60" s="229" t="s">
        <v>128</v>
      </c>
      <c r="B60" s="207" t="s">
        <v>38</v>
      </c>
      <c r="C60" s="167">
        <v>1660</v>
      </c>
      <c r="D60" s="167">
        <v>1006</v>
      </c>
      <c r="E60" s="167">
        <v>25</v>
      </c>
      <c r="I60" s="302"/>
    </row>
    <row r="61" spans="1:9" ht="21.4" hidden="1" customHeight="1">
      <c r="A61" s="229"/>
      <c r="B61" s="207" t="s">
        <v>39</v>
      </c>
      <c r="C61" s="167">
        <v>1825</v>
      </c>
      <c r="D61" s="167">
        <v>1741</v>
      </c>
      <c r="I61" s="302"/>
    </row>
    <row r="62" spans="1:9" ht="21.4" hidden="1" customHeight="1">
      <c r="A62" s="229"/>
      <c r="B62" s="207" t="s">
        <v>40</v>
      </c>
      <c r="I62" s="302"/>
    </row>
    <row r="63" spans="1:9" ht="21.4" hidden="1" customHeight="1">
      <c r="A63" s="231"/>
      <c r="B63" s="207" t="s">
        <v>41</v>
      </c>
      <c r="C63" s="167">
        <v>327</v>
      </c>
      <c r="D63" s="167">
        <v>244</v>
      </c>
      <c r="I63" s="302"/>
    </row>
    <row r="64" spans="1:9" ht="21.4" hidden="1" customHeight="1">
      <c r="A64" s="296" t="s">
        <v>429</v>
      </c>
      <c r="B64" s="207" t="s">
        <v>53</v>
      </c>
      <c r="F64" s="167">
        <v>18.8</v>
      </c>
      <c r="G64" s="167">
        <v>68</v>
      </c>
      <c r="H64" s="167">
        <v>41.44</v>
      </c>
      <c r="I64" s="302">
        <v>114.5</v>
      </c>
    </row>
    <row r="65" spans="1:9" ht="21.4" hidden="1" customHeight="1">
      <c r="A65" s="231" t="s">
        <v>428</v>
      </c>
      <c r="B65" s="207" t="s">
        <v>54</v>
      </c>
      <c r="C65" s="167">
        <v>226</v>
      </c>
      <c r="D65" s="167">
        <v>32</v>
      </c>
      <c r="E65" s="167">
        <v>8571</v>
      </c>
      <c r="I65" s="302"/>
    </row>
    <row r="66" spans="1:9" ht="21.4" hidden="1" customHeight="1">
      <c r="A66" s="231"/>
      <c r="B66" s="207" t="s">
        <v>104</v>
      </c>
      <c r="E66" s="167">
        <v>2057</v>
      </c>
      <c r="I66" s="302"/>
    </row>
    <row r="67" spans="1:9" ht="21.4" hidden="1" customHeight="1">
      <c r="A67" s="231"/>
      <c r="B67" s="207" t="s">
        <v>215</v>
      </c>
      <c r="C67" s="167">
        <v>2987</v>
      </c>
      <c r="D67" s="167">
        <v>2853</v>
      </c>
      <c r="E67" s="167">
        <v>1913</v>
      </c>
      <c r="I67" s="302"/>
    </row>
    <row r="68" spans="1:9" ht="21.4" hidden="1" customHeight="1">
      <c r="A68" s="288"/>
      <c r="B68" s="218" t="s">
        <v>16</v>
      </c>
      <c r="C68" s="213">
        <f t="shared" ref="C68:I68" si="6">SUM(C60:C67)</f>
        <v>7025</v>
      </c>
      <c r="D68" s="213">
        <f t="shared" si="6"/>
        <v>5876</v>
      </c>
      <c r="E68" s="213">
        <f t="shared" si="6"/>
        <v>12566</v>
      </c>
      <c r="F68" s="213">
        <f t="shared" si="6"/>
        <v>18.8</v>
      </c>
      <c r="G68" s="213">
        <f t="shared" si="6"/>
        <v>68</v>
      </c>
      <c r="H68" s="213">
        <f t="shared" si="6"/>
        <v>41.44</v>
      </c>
      <c r="I68" s="604">
        <f t="shared" si="6"/>
        <v>114.5</v>
      </c>
    </row>
    <row r="69" spans="1:9" ht="23.25" hidden="1" customHeight="1">
      <c r="A69" s="229" t="s">
        <v>133</v>
      </c>
      <c r="B69" s="207" t="s">
        <v>38</v>
      </c>
      <c r="C69" s="167">
        <v>1662</v>
      </c>
      <c r="D69" s="167">
        <v>1099</v>
      </c>
      <c r="E69" s="167">
        <v>14</v>
      </c>
      <c r="I69" s="302"/>
    </row>
    <row r="70" spans="1:9" ht="21.4" hidden="1" customHeight="1">
      <c r="A70" s="229"/>
      <c r="B70" s="207" t="s">
        <v>39</v>
      </c>
      <c r="C70" s="167">
        <v>1838</v>
      </c>
      <c r="D70" s="167">
        <v>1582</v>
      </c>
      <c r="I70" s="302"/>
    </row>
    <row r="71" spans="1:9" ht="21.4" hidden="1" customHeight="1">
      <c r="A71" s="229"/>
      <c r="B71" s="207" t="s">
        <v>40</v>
      </c>
      <c r="I71" s="302"/>
    </row>
    <row r="72" spans="1:9" ht="21.4" hidden="1" customHeight="1">
      <c r="A72" s="231"/>
      <c r="B72" s="207" t="s">
        <v>41</v>
      </c>
      <c r="C72" s="167">
        <v>331</v>
      </c>
      <c r="D72" s="167">
        <v>235</v>
      </c>
      <c r="I72" s="302"/>
    </row>
    <row r="73" spans="1:9" ht="21.4" hidden="1" customHeight="1">
      <c r="A73" s="231"/>
      <c r="B73" s="207" t="s">
        <v>53</v>
      </c>
      <c r="F73" s="167">
        <v>13.2</v>
      </c>
      <c r="G73" s="167">
        <v>101.7</v>
      </c>
      <c r="H73" s="167">
        <v>53.2</v>
      </c>
      <c r="I73" s="302">
        <v>162.1</v>
      </c>
    </row>
    <row r="74" spans="1:9" ht="21.4" hidden="1" customHeight="1">
      <c r="A74" s="231"/>
      <c r="B74" s="207" t="s">
        <v>54</v>
      </c>
      <c r="C74" s="167">
        <v>514</v>
      </c>
      <c r="D74" s="167">
        <v>82</v>
      </c>
      <c r="E74" s="167">
        <v>8743</v>
      </c>
      <c r="I74" s="302"/>
    </row>
    <row r="75" spans="1:9" ht="21.4" hidden="1" customHeight="1">
      <c r="A75" s="231"/>
      <c r="B75" s="207" t="s">
        <v>104</v>
      </c>
      <c r="E75" s="167">
        <v>2021</v>
      </c>
      <c r="I75" s="302"/>
    </row>
    <row r="76" spans="1:9" ht="21.4" hidden="1" customHeight="1">
      <c r="A76" s="231"/>
      <c r="B76" s="207" t="s">
        <v>215</v>
      </c>
      <c r="C76" s="167">
        <f>1050+1776</f>
        <v>2826</v>
      </c>
      <c r="D76" s="167">
        <f>134+3018</f>
        <v>3152</v>
      </c>
      <c r="E76" s="167">
        <v>1764</v>
      </c>
      <c r="I76" s="302"/>
    </row>
    <row r="77" spans="1:9" ht="21.4" hidden="1" customHeight="1">
      <c r="A77" s="288"/>
      <c r="B77" s="218" t="s">
        <v>16</v>
      </c>
      <c r="C77" s="213">
        <f t="shared" ref="C77:I77" si="7">SUM(C69:C76)</f>
        <v>7171</v>
      </c>
      <c r="D77" s="213">
        <f t="shared" si="7"/>
        <v>6150</v>
      </c>
      <c r="E77" s="213">
        <f t="shared" si="7"/>
        <v>12542</v>
      </c>
      <c r="F77" s="213">
        <f t="shared" si="7"/>
        <v>13.2</v>
      </c>
      <c r="G77" s="213">
        <f t="shared" si="7"/>
        <v>101.7</v>
      </c>
      <c r="H77" s="213">
        <f t="shared" si="7"/>
        <v>53.2</v>
      </c>
      <c r="I77" s="604">
        <f t="shared" si="7"/>
        <v>162.1</v>
      </c>
    </row>
    <row r="78" spans="1:9" ht="23.25" hidden="1" customHeight="1">
      <c r="A78" s="229" t="s">
        <v>211</v>
      </c>
      <c r="B78" s="207" t="s">
        <v>38</v>
      </c>
      <c r="C78" s="167">
        <v>1605</v>
      </c>
      <c r="D78" s="167">
        <v>994</v>
      </c>
      <c r="I78" s="302"/>
    </row>
    <row r="79" spans="1:9" ht="21.4" hidden="1" customHeight="1">
      <c r="A79" s="229"/>
      <c r="B79" s="207" t="s">
        <v>39</v>
      </c>
      <c r="C79" s="167">
        <v>1709</v>
      </c>
      <c r="D79" s="167">
        <v>1233</v>
      </c>
      <c r="I79" s="302"/>
    </row>
    <row r="80" spans="1:9" ht="21.4" hidden="1" customHeight="1">
      <c r="A80" s="231"/>
      <c r="B80" s="207" t="s">
        <v>41</v>
      </c>
      <c r="C80" s="167">
        <v>365</v>
      </c>
      <c r="D80" s="167">
        <v>254</v>
      </c>
      <c r="I80" s="302"/>
    </row>
    <row r="81" spans="1:9" ht="21.4" hidden="1" customHeight="1">
      <c r="A81" s="231"/>
      <c r="B81" s="207" t="s">
        <v>53</v>
      </c>
      <c r="F81" s="167">
        <v>18.247</v>
      </c>
      <c r="G81" s="167">
        <v>106.813</v>
      </c>
      <c r="H81" s="167">
        <v>58.721699999999998</v>
      </c>
      <c r="I81" s="302">
        <v>177.94</v>
      </c>
    </row>
    <row r="82" spans="1:9" ht="21.4" hidden="1" customHeight="1">
      <c r="A82" s="231"/>
      <c r="B82" s="207" t="s">
        <v>54</v>
      </c>
      <c r="C82" s="167">
        <v>577</v>
      </c>
      <c r="D82" s="167">
        <v>128</v>
      </c>
      <c r="E82" s="167">
        <v>8645</v>
      </c>
      <c r="I82" s="302"/>
    </row>
    <row r="83" spans="1:9" ht="21.4" hidden="1" customHeight="1">
      <c r="A83" s="231"/>
      <c r="B83" s="207" t="s">
        <v>104</v>
      </c>
      <c r="E83" s="167">
        <v>2034</v>
      </c>
      <c r="I83" s="302"/>
    </row>
    <row r="84" spans="1:9" ht="21.4" hidden="1" customHeight="1">
      <c r="A84" s="231"/>
      <c r="B84" s="207" t="s">
        <v>215</v>
      </c>
      <c r="C84" s="167">
        <f>969+1956</f>
        <v>2925</v>
      </c>
      <c r="D84" s="167">
        <f>195+2490</f>
        <v>2685</v>
      </c>
      <c r="E84" s="167">
        <v>1940</v>
      </c>
      <c r="I84" s="302"/>
    </row>
    <row r="85" spans="1:9" ht="21.4" hidden="1" customHeight="1">
      <c r="A85" s="288"/>
      <c r="B85" s="218" t="s">
        <v>16</v>
      </c>
      <c r="C85" s="213">
        <f t="shared" ref="C85:I85" si="8">SUM(C78:C84)</f>
        <v>7181</v>
      </c>
      <c r="D85" s="213">
        <f t="shared" si="8"/>
        <v>5294</v>
      </c>
      <c r="E85" s="213">
        <f t="shared" si="8"/>
        <v>12619</v>
      </c>
      <c r="F85" s="213">
        <f t="shared" si="8"/>
        <v>18.247</v>
      </c>
      <c r="G85" s="213">
        <f t="shared" si="8"/>
        <v>106.813</v>
      </c>
      <c r="H85" s="213">
        <f t="shared" si="8"/>
        <v>58.721699999999998</v>
      </c>
      <c r="I85" s="604">
        <f t="shared" si="8"/>
        <v>177.94</v>
      </c>
    </row>
    <row r="86" spans="1:9" ht="21.4" hidden="1" customHeight="1">
      <c r="A86" s="229" t="s">
        <v>219</v>
      </c>
      <c r="B86" s="207" t="s">
        <v>38</v>
      </c>
      <c r="C86" s="166">
        <v>1329</v>
      </c>
      <c r="D86" s="166">
        <v>874</v>
      </c>
      <c r="E86" s="166"/>
      <c r="F86" s="166"/>
      <c r="G86" s="166"/>
      <c r="H86" s="166"/>
      <c r="I86" s="688"/>
    </row>
    <row r="87" spans="1:9" ht="21.4" hidden="1" customHeight="1">
      <c r="A87" s="229"/>
      <c r="B87" s="207" t="s">
        <v>39</v>
      </c>
      <c r="C87" s="166">
        <v>1396</v>
      </c>
      <c r="D87" s="166">
        <v>1110</v>
      </c>
      <c r="E87" s="166"/>
      <c r="F87" s="166"/>
      <c r="G87" s="166"/>
      <c r="H87" s="166"/>
      <c r="I87" s="688"/>
    </row>
    <row r="88" spans="1:9" ht="21.4" hidden="1" customHeight="1">
      <c r="A88" s="231"/>
      <c r="B88" s="207" t="s">
        <v>41</v>
      </c>
      <c r="C88" s="166">
        <v>248</v>
      </c>
      <c r="D88" s="166">
        <v>190</v>
      </c>
      <c r="E88" s="166"/>
      <c r="F88" s="166"/>
      <c r="G88" s="166"/>
      <c r="H88" s="166"/>
      <c r="I88" s="688"/>
    </row>
    <row r="89" spans="1:9" ht="21.4" hidden="1" customHeight="1">
      <c r="A89" s="231"/>
      <c r="B89" s="207" t="s">
        <v>53</v>
      </c>
      <c r="C89" s="166"/>
      <c r="D89" s="166"/>
      <c r="E89" s="166"/>
      <c r="F89" s="166">
        <v>25.78</v>
      </c>
      <c r="G89" s="166">
        <v>90.757999999999996</v>
      </c>
      <c r="H89" s="166">
        <v>54.947000000000003</v>
      </c>
      <c r="I89" s="688">
        <v>156.42500000000001</v>
      </c>
    </row>
    <row r="90" spans="1:9" ht="21.4" hidden="1" customHeight="1">
      <c r="A90" s="231"/>
      <c r="B90" s="207" t="s">
        <v>54</v>
      </c>
      <c r="C90" s="166">
        <v>526</v>
      </c>
      <c r="D90" s="166">
        <v>182</v>
      </c>
      <c r="E90" s="166">
        <v>8381</v>
      </c>
      <c r="F90" s="166"/>
      <c r="G90" s="166"/>
      <c r="H90" s="166"/>
      <c r="I90" s="688"/>
    </row>
    <row r="91" spans="1:9" ht="21.4" hidden="1" customHeight="1">
      <c r="A91" s="231"/>
      <c r="B91" s="207" t="s">
        <v>104</v>
      </c>
      <c r="C91" s="166"/>
      <c r="D91" s="166"/>
      <c r="E91" s="166">
        <v>2385</v>
      </c>
      <c r="F91" s="166"/>
      <c r="G91" s="166"/>
      <c r="H91" s="166"/>
      <c r="I91" s="688"/>
    </row>
    <row r="92" spans="1:9" ht="21.4" hidden="1" customHeight="1">
      <c r="A92" s="231"/>
      <c r="B92" s="207" t="s">
        <v>215</v>
      </c>
      <c r="C92" s="166">
        <v>3048</v>
      </c>
      <c r="D92" s="166">
        <v>2316</v>
      </c>
      <c r="E92" s="166">
        <v>1897</v>
      </c>
      <c r="F92" s="166"/>
      <c r="G92" s="166"/>
      <c r="H92" s="166"/>
      <c r="I92" s="688"/>
    </row>
    <row r="93" spans="1:9" ht="21.4" hidden="1" customHeight="1">
      <c r="A93" s="288"/>
      <c r="B93" s="218" t="s">
        <v>16</v>
      </c>
      <c r="C93" s="216">
        <f t="shared" ref="C93:I93" si="9">SUM(C86:C92)</f>
        <v>6547</v>
      </c>
      <c r="D93" s="216">
        <f t="shared" si="9"/>
        <v>4672</v>
      </c>
      <c r="E93" s="216">
        <f t="shared" si="9"/>
        <v>12663</v>
      </c>
      <c r="F93" s="216">
        <f t="shared" si="9"/>
        <v>25.78</v>
      </c>
      <c r="G93" s="216">
        <f t="shared" si="9"/>
        <v>90.757999999999996</v>
      </c>
      <c r="H93" s="216">
        <f t="shared" si="9"/>
        <v>54.947000000000003</v>
      </c>
      <c r="I93" s="606">
        <f t="shared" si="9"/>
        <v>156.42500000000001</v>
      </c>
    </row>
    <row r="94" spans="1:9" ht="21.4" hidden="1" customHeight="1">
      <c r="A94" s="229" t="s">
        <v>222</v>
      </c>
      <c r="B94" s="207" t="s">
        <v>38</v>
      </c>
      <c r="C94" s="166">
        <v>1549</v>
      </c>
      <c r="D94" s="166">
        <v>872</v>
      </c>
      <c r="E94" s="166"/>
      <c r="F94" s="166"/>
      <c r="G94" s="166"/>
      <c r="H94" s="166"/>
      <c r="I94" s="688"/>
    </row>
    <row r="95" spans="1:9" ht="21.4" hidden="1" customHeight="1">
      <c r="A95" s="229"/>
      <c r="B95" s="207" t="s">
        <v>39</v>
      </c>
      <c r="C95" s="166">
        <v>1453</v>
      </c>
      <c r="D95" s="166">
        <v>1000</v>
      </c>
      <c r="E95" s="166"/>
      <c r="F95" s="166"/>
      <c r="G95" s="166"/>
      <c r="H95" s="166"/>
      <c r="I95" s="688"/>
    </row>
    <row r="96" spans="1:9" ht="21.4" hidden="1" customHeight="1">
      <c r="A96" s="231"/>
      <c r="B96" s="207" t="s">
        <v>41</v>
      </c>
      <c r="C96" s="166">
        <v>191</v>
      </c>
      <c r="D96" s="166">
        <v>139</v>
      </c>
      <c r="E96" s="166"/>
      <c r="F96" s="166"/>
      <c r="G96" s="166"/>
      <c r="H96" s="166"/>
      <c r="I96" s="688"/>
    </row>
    <row r="97" spans="1:9" ht="21.4" hidden="1" customHeight="1">
      <c r="A97" s="231"/>
      <c r="B97" s="207" t="s">
        <v>53</v>
      </c>
      <c r="C97" s="166"/>
      <c r="D97" s="166"/>
      <c r="E97" s="166"/>
      <c r="F97" s="166">
        <v>26.359000000000002</v>
      </c>
      <c r="G97" s="166">
        <v>70.221000000000004</v>
      </c>
      <c r="H97" s="166">
        <v>5.58</v>
      </c>
      <c r="I97" s="688">
        <v>151.21899999999999</v>
      </c>
    </row>
    <row r="98" spans="1:9" ht="21.4" hidden="1" customHeight="1">
      <c r="A98" s="231"/>
      <c r="B98" s="207" t="s">
        <v>54</v>
      </c>
      <c r="C98" s="166">
        <v>592</v>
      </c>
      <c r="D98" s="166">
        <v>247</v>
      </c>
      <c r="E98" s="166">
        <f>699+2328+1162+3272+1413</f>
        <v>8874</v>
      </c>
      <c r="F98" s="166"/>
      <c r="G98" s="166"/>
      <c r="H98" s="166"/>
      <c r="I98" s="688"/>
    </row>
    <row r="99" spans="1:9" ht="21.4" hidden="1" customHeight="1">
      <c r="A99" s="231"/>
      <c r="B99" s="207" t="s">
        <v>256</v>
      </c>
      <c r="C99" s="166"/>
      <c r="D99" s="166"/>
      <c r="E99" s="166">
        <v>2041</v>
      </c>
      <c r="F99" s="166"/>
      <c r="G99" s="166"/>
      <c r="H99" s="166"/>
      <c r="I99" s="688"/>
    </row>
    <row r="100" spans="1:9" ht="21.4" hidden="1" customHeight="1">
      <c r="A100" s="231"/>
      <c r="B100" s="207" t="s">
        <v>215</v>
      </c>
      <c r="C100" s="166">
        <f>970+2200</f>
        <v>3170</v>
      </c>
      <c r="D100" s="166">
        <f>189+2196</f>
        <v>2385</v>
      </c>
      <c r="E100" s="166">
        <v>1965</v>
      </c>
      <c r="F100" s="166"/>
      <c r="G100" s="166"/>
      <c r="H100" s="166"/>
      <c r="I100" s="688"/>
    </row>
    <row r="101" spans="1:9" ht="21.4" hidden="1" customHeight="1">
      <c r="A101" s="288"/>
      <c r="B101" s="218" t="s">
        <v>16</v>
      </c>
      <c r="C101" s="216">
        <f t="shared" ref="C101:I101" si="10">SUM(C94:C100)</f>
        <v>6955</v>
      </c>
      <c r="D101" s="216">
        <f t="shared" si="10"/>
        <v>4643</v>
      </c>
      <c r="E101" s="216">
        <f t="shared" si="10"/>
        <v>12880</v>
      </c>
      <c r="F101" s="216">
        <f t="shared" si="10"/>
        <v>26.359000000000002</v>
      </c>
      <c r="G101" s="216">
        <f t="shared" si="10"/>
        <v>70.221000000000004</v>
      </c>
      <c r="H101" s="216">
        <f t="shared" si="10"/>
        <v>5.58</v>
      </c>
      <c r="I101" s="606">
        <f t="shared" si="10"/>
        <v>151.21899999999999</v>
      </c>
    </row>
    <row r="102" spans="1:9" ht="21.4" hidden="1" customHeight="1">
      <c r="A102" s="229" t="s">
        <v>226</v>
      </c>
      <c r="B102" s="207" t="s">
        <v>38</v>
      </c>
      <c r="C102" s="166">
        <v>1421</v>
      </c>
      <c r="D102" s="166"/>
      <c r="E102" s="166"/>
      <c r="F102" s="166"/>
      <c r="G102" s="166"/>
      <c r="H102" s="166"/>
      <c r="I102" s="688"/>
    </row>
    <row r="103" spans="1:9" ht="21.4" hidden="1" customHeight="1">
      <c r="A103" s="229"/>
      <c r="B103" s="207" t="s">
        <v>39</v>
      </c>
      <c r="C103" s="166">
        <v>1334</v>
      </c>
      <c r="D103" s="166">
        <v>914</v>
      </c>
      <c r="E103" s="166"/>
      <c r="F103" s="166"/>
      <c r="G103" s="166"/>
      <c r="H103" s="166"/>
      <c r="I103" s="688"/>
    </row>
    <row r="104" spans="1:9" ht="21.4" hidden="1" customHeight="1">
      <c r="A104" s="231"/>
      <c r="B104" s="207" t="s">
        <v>41</v>
      </c>
      <c r="C104" s="166">
        <v>137</v>
      </c>
      <c r="D104" s="166">
        <v>97</v>
      </c>
      <c r="E104" s="166"/>
      <c r="F104" s="166"/>
      <c r="G104" s="166"/>
      <c r="H104" s="166"/>
      <c r="I104" s="688"/>
    </row>
    <row r="105" spans="1:9" ht="21.4" hidden="1" customHeight="1">
      <c r="A105" s="231"/>
      <c r="B105" s="207" t="s">
        <v>53</v>
      </c>
      <c r="C105" s="166"/>
      <c r="D105" s="166"/>
      <c r="E105" s="166"/>
      <c r="F105" s="166">
        <v>27.6</v>
      </c>
      <c r="G105" s="166">
        <v>31.3</v>
      </c>
      <c r="H105" s="166">
        <v>41.8</v>
      </c>
      <c r="I105" s="688">
        <v>145</v>
      </c>
    </row>
    <row r="106" spans="1:9" ht="21.4" hidden="1" customHeight="1">
      <c r="A106" s="231"/>
      <c r="B106" s="207" t="s">
        <v>54</v>
      </c>
      <c r="C106" s="166">
        <v>339</v>
      </c>
      <c r="D106" s="166">
        <v>197</v>
      </c>
      <c r="E106" s="166">
        <v>9976</v>
      </c>
      <c r="F106" s="166"/>
      <c r="G106" s="166"/>
      <c r="H106" s="166"/>
      <c r="I106" s="688"/>
    </row>
    <row r="107" spans="1:9" ht="21.4" hidden="1" customHeight="1">
      <c r="A107" s="231"/>
      <c r="B107" s="207" t="s">
        <v>256</v>
      </c>
      <c r="C107" s="166"/>
      <c r="D107" s="166"/>
      <c r="E107" s="166">
        <v>2414</v>
      </c>
      <c r="F107" s="166"/>
      <c r="G107" s="166"/>
      <c r="H107" s="166"/>
      <c r="I107" s="688"/>
    </row>
    <row r="108" spans="1:9" ht="21.4" hidden="1" customHeight="1">
      <c r="A108" s="231"/>
      <c r="B108" s="207" t="s">
        <v>215</v>
      </c>
      <c r="C108" s="166">
        <f>971+2295</f>
        <v>3266</v>
      </c>
      <c r="D108" s="166">
        <f>240+2226</f>
        <v>2466</v>
      </c>
      <c r="E108" s="166">
        <v>1940</v>
      </c>
      <c r="F108" s="166"/>
      <c r="G108" s="166"/>
      <c r="H108" s="166"/>
      <c r="I108" s="688"/>
    </row>
    <row r="109" spans="1:9" ht="21.4" hidden="1" customHeight="1">
      <c r="A109" s="288"/>
      <c r="B109" s="218" t="s">
        <v>16</v>
      </c>
      <c r="C109" s="216">
        <f t="shared" ref="C109:I109" si="11">SUM(C102:C108)</f>
        <v>6497</v>
      </c>
      <c r="D109" s="216">
        <f t="shared" si="11"/>
        <v>3674</v>
      </c>
      <c r="E109" s="216">
        <f t="shared" si="11"/>
        <v>14330</v>
      </c>
      <c r="F109" s="216">
        <f t="shared" si="11"/>
        <v>27.6</v>
      </c>
      <c r="G109" s="216">
        <f t="shared" si="11"/>
        <v>31.3</v>
      </c>
      <c r="H109" s="216">
        <f t="shared" si="11"/>
        <v>41.8</v>
      </c>
      <c r="I109" s="606">
        <f t="shared" si="11"/>
        <v>145</v>
      </c>
    </row>
    <row r="110" spans="1:9" ht="21.4" hidden="1" customHeight="1">
      <c r="A110" s="229" t="s">
        <v>229</v>
      </c>
      <c r="B110" s="207" t="s">
        <v>38</v>
      </c>
      <c r="C110" s="166">
        <v>1329</v>
      </c>
      <c r="D110" s="166">
        <v>1291</v>
      </c>
      <c r="E110" s="166"/>
      <c r="F110" s="166"/>
      <c r="G110" s="166"/>
      <c r="H110" s="166"/>
      <c r="I110" s="688"/>
    </row>
    <row r="111" spans="1:9" ht="21.4" hidden="1" customHeight="1">
      <c r="A111" s="229"/>
      <c r="B111" s="207" t="s">
        <v>39</v>
      </c>
      <c r="C111" s="166">
        <v>1239</v>
      </c>
      <c r="D111" s="166">
        <v>1034</v>
      </c>
      <c r="E111" s="166"/>
      <c r="F111" s="166"/>
      <c r="G111" s="166"/>
      <c r="H111" s="166"/>
      <c r="I111" s="688"/>
    </row>
    <row r="112" spans="1:9" ht="21.4" hidden="1" customHeight="1">
      <c r="A112" s="231"/>
      <c r="B112" s="207" t="s">
        <v>41</v>
      </c>
      <c r="C112" s="166">
        <v>144</v>
      </c>
      <c r="D112" s="166">
        <v>102</v>
      </c>
      <c r="E112" s="166"/>
      <c r="F112" s="166"/>
      <c r="G112" s="166"/>
      <c r="H112" s="166"/>
      <c r="I112" s="688"/>
    </row>
    <row r="113" spans="1:9" ht="21.4" hidden="1" customHeight="1">
      <c r="A113" s="231"/>
      <c r="B113" s="207" t="s">
        <v>53</v>
      </c>
      <c r="C113" s="166"/>
      <c r="D113" s="166"/>
      <c r="E113" s="166"/>
      <c r="F113" s="166">
        <v>23</v>
      </c>
      <c r="G113" s="166">
        <v>25</v>
      </c>
      <c r="H113" s="166">
        <v>36</v>
      </c>
      <c r="I113" s="688">
        <v>157</v>
      </c>
    </row>
    <row r="114" spans="1:9" ht="21.4" hidden="1" customHeight="1">
      <c r="A114" s="231"/>
      <c r="B114" s="207" t="s">
        <v>54</v>
      </c>
      <c r="C114" s="166">
        <v>448</v>
      </c>
      <c r="D114" s="166">
        <v>263</v>
      </c>
      <c r="E114" s="166">
        <f>1993+2383+1022+577+1436</f>
        <v>7411</v>
      </c>
      <c r="F114" s="166"/>
      <c r="G114" s="166"/>
      <c r="H114" s="166"/>
      <c r="I114" s="688"/>
    </row>
    <row r="115" spans="1:9" ht="21.4" hidden="1" customHeight="1">
      <c r="A115" s="231"/>
      <c r="B115" s="207" t="s">
        <v>256</v>
      </c>
      <c r="C115" s="166"/>
      <c r="D115" s="166"/>
      <c r="E115" s="166">
        <v>2415</v>
      </c>
      <c r="F115" s="166"/>
      <c r="G115" s="166"/>
      <c r="H115" s="166"/>
      <c r="I115" s="688"/>
    </row>
    <row r="116" spans="1:9" ht="21.4" hidden="1" customHeight="1">
      <c r="A116" s="231"/>
      <c r="B116" s="207" t="s">
        <v>215</v>
      </c>
      <c r="C116" s="166">
        <f>1042+2339</f>
        <v>3381</v>
      </c>
      <c r="D116" s="166">
        <f>241+2522</f>
        <v>2763</v>
      </c>
      <c r="E116" s="166">
        <v>1868</v>
      </c>
      <c r="F116" s="166"/>
      <c r="G116" s="166"/>
      <c r="H116" s="166"/>
      <c r="I116" s="688"/>
    </row>
    <row r="117" spans="1:9" ht="21.4" hidden="1" customHeight="1">
      <c r="A117" s="231"/>
      <c r="B117" s="207" t="s">
        <v>213</v>
      </c>
      <c r="C117" s="166">
        <v>9</v>
      </c>
      <c r="D117" s="166">
        <v>11</v>
      </c>
      <c r="E117" s="166"/>
      <c r="F117" s="166"/>
      <c r="G117" s="166"/>
      <c r="H117" s="166"/>
      <c r="I117" s="688"/>
    </row>
    <row r="118" spans="1:9" ht="21.4" hidden="1" customHeight="1">
      <c r="A118" s="288"/>
      <c r="B118" s="218" t="s">
        <v>16</v>
      </c>
      <c r="C118" s="216">
        <f t="shared" ref="C118:I118" si="12">SUM(C110:C117)</f>
        <v>6550</v>
      </c>
      <c r="D118" s="216">
        <f t="shared" si="12"/>
        <v>5464</v>
      </c>
      <c r="E118" s="216">
        <f t="shared" si="12"/>
        <v>11694</v>
      </c>
      <c r="F118" s="216">
        <f t="shared" si="12"/>
        <v>23</v>
      </c>
      <c r="G118" s="216">
        <f t="shared" si="12"/>
        <v>25</v>
      </c>
      <c r="H118" s="216">
        <f t="shared" si="12"/>
        <v>36</v>
      </c>
      <c r="I118" s="606">
        <f t="shared" si="12"/>
        <v>157</v>
      </c>
    </row>
    <row r="119" spans="1:9" ht="21.4" hidden="1" customHeight="1">
      <c r="A119" s="229" t="s">
        <v>258</v>
      </c>
      <c r="B119" s="207" t="s">
        <v>38</v>
      </c>
      <c r="C119" s="166">
        <v>953</v>
      </c>
      <c r="D119" s="166">
        <v>1261</v>
      </c>
      <c r="E119" s="166"/>
      <c r="F119" s="166"/>
      <c r="G119" s="166"/>
      <c r="H119" s="166"/>
      <c r="I119" s="688"/>
    </row>
    <row r="120" spans="1:9" ht="21.4" hidden="1" customHeight="1">
      <c r="A120" s="229"/>
      <c r="B120" s="207" t="s">
        <v>39</v>
      </c>
      <c r="C120" s="166">
        <v>1358</v>
      </c>
      <c r="D120" s="166">
        <v>1085</v>
      </c>
      <c r="E120" s="166"/>
      <c r="F120" s="166"/>
      <c r="G120" s="166"/>
      <c r="H120" s="166"/>
      <c r="I120" s="688"/>
    </row>
    <row r="121" spans="1:9" ht="21.4" hidden="1" customHeight="1">
      <c r="A121" s="231"/>
      <c r="B121" s="207" t="s">
        <v>41</v>
      </c>
      <c r="C121" s="166">
        <v>120</v>
      </c>
      <c r="D121" s="166">
        <v>89</v>
      </c>
      <c r="E121" s="166"/>
      <c r="F121" s="166"/>
      <c r="G121" s="166"/>
      <c r="H121" s="166"/>
      <c r="I121" s="688"/>
    </row>
    <row r="122" spans="1:9" ht="21.4" hidden="1" customHeight="1">
      <c r="A122" s="231"/>
      <c r="B122" s="207" t="s">
        <v>53</v>
      </c>
      <c r="C122" s="166"/>
      <c r="D122" s="166"/>
      <c r="E122" s="166"/>
      <c r="F122" s="166">
        <v>26</v>
      </c>
      <c r="G122" s="166">
        <v>25</v>
      </c>
      <c r="H122" s="166">
        <v>45</v>
      </c>
      <c r="I122" s="688">
        <v>204</v>
      </c>
    </row>
    <row r="123" spans="1:9" ht="21.4" hidden="1" customHeight="1">
      <c r="A123" s="231"/>
      <c r="B123" s="207" t="s">
        <v>54</v>
      </c>
      <c r="C123" s="166"/>
      <c r="D123" s="166"/>
      <c r="E123" s="166">
        <v>7724</v>
      </c>
      <c r="F123" s="166"/>
      <c r="G123" s="166"/>
      <c r="H123" s="166"/>
      <c r="I123" s="688"/>
    </row>
    <row r="124" spans="1:9" ht="21.4" hidden="1" customHeight="1">
      <c r="A124" s="231"/>
      <c r="B124" s="207" t="s">
        <v>47</v>
      </c>
      <c r="C124" s="166">
        <v>408</v>
      </c>
      <c r="D124" s="166">
        <v>266</v>
      </c>
      <c r="E124" s="166">
        <v>529</v>
      </c>
      <c r="F124" s="166"/>
      <c r="G124" s="166"/>
      <c r="H124" s="166"/>
      <c r="I124" s="688"/>
    </row>
    <row r="125" spans="1:9" ht="21.4" hidden="1" customHeight="1">
      <c r="A125" s="231"/>
      <c r="B125" s="207" t="s">
        <v>256</v>
      </c>
      <c r="C125" s="166"/>
      <c r="D125" s="166"/>
      <c r="E125" s="166">
        <v>2427</v>
      </c>
      <c r="F125" s="166"/>
      <c r="G125" s="166"/>
      <c r="H125" s="166"/>
      <c r="I125" s="688"/>
    </row>
    <row r="126" spans="1:9" ht="21.4" hidden="1" customHeight="1">
      <c r="A126" s="231"/>
      <c r="B126" s="207" t="s">
        <v>215</v>
      </c>
      <c r="C126" s="166">
        <v>3655.9999999999995</v>
      </c>
      <c r="D126" s="166">
        <v>2165</v>
      </c>
      <c r="E126" s="166">
        <v>1926</v>
      </c>
      <c r="F126" s="166"/>
      <c r="G126" s="166"/>
      <c r="H126" s="166"/>
      <c r="I126" s="688"/>
    </row>
    <row r="127" spans="1:9" ht="21.4" hidden="1" customHeight="1">
      <c r="A127" s="231"/>
      <c r="B127" s="207" t="s">
        <v>213</v>
      </c>
      <c r="C127" s="166">
        <v>119</v>
      </c>
      <c r="D127" s="166">
        <v>47</v>
      </c>
      <c r="E127" s="166"/>
      <c r="F127" s="166"/>
      <c r="G127" s="166"/>
      <c r="H127" s="166"/>
      <c r="I127" s="688"/>
    </row>
    <row r="128" spans="1:9" ht="21.4" hidden="1" customHeight="1" thickBot="1">
      <c r="A128" s="290"/>
      <c r="B128" s="234" t="s">
        <v>16</v>
      </c>
      <c r="C128" s="217">
        <f t="shared" ref="C128:I128" si="13">SUM(C119:C127)</f>
        <v>6614</v>
      </c>
      <c r="D128" s="217">
        <f t="shared" si="13"/>
        <v>4913</v>
      </c>
      <c r="E128" s="217">
        <f t="shared" si="13"/>
        <v>12606</v>
      </c>
      <c r="F128" s="217">
        <f t="shared" si="13"/>
        <v>26</v>
      </c>
      <c r="G128" s="217">
        <f t="shared" si="13"/>
        <v>25</v>
      </c>
      <c r="H128" s="217">
        <f t="shared" si="13"/>
        <v>45</v>
      </c>
      <c r="I128" s="605">
        <f t="shared" si="13"/>
        <v>204</v>
      </c>
    </row>
    <row r="129" spans="1:9" ht="21.4" hidden="1" customHeight="1">
      <c r="A129" s="229" t="s">
        <v>281</v>
      </c>
      <c r="B129" s="207" t="s">
        <v>38</v>
      </c>
      <c r="C129" s="166">
        <v>387</v>
      </c>
      <c r="D129" s="166">
        <v>1251</v>
      </c>
      <c r="E129" s="166"/>
      <c r="F129" s="166"/>
      <c r="G129" s="166"/>
      <c r="H129" s="166"/>
      <c r="I129" s="688"/>
    </row>
    <row r="130" spans="1:9" ht="21.4" hidden="1" customHeight="1">
      <c r="A130" s="229"/>
      <c r="B130" s="207" t="s">
        <v>39</v>
      </c>
      <c r="C130" s="166">
        <v>1648</v>
      </c>
      <c r="D130" s="166">
        <v>1156</v>
      </c>
      <c r="E130" s="166"/>
      <c r="F130" s="166"/>
      <c r="G130" s="166"/>
      <c r="H130" s="166"/>
      <c r="I130" s="688"/>
    </row>
    <row r="131" spans="1:9" ht="21.4" hidden="1" customHeight="1">
      <c r="A131" s="231"/>
      <c r="B131" s="207" t="s">
        <v>41</v>
      </c>
      <c r="C131" s="166">
        <v>73</v>
      </c>
      <c r="D131" s="166">
        <v>71</v>
      </c>
      <c r="E131" s="166"/>
      <c r="F131" s="166"/>
      <c r="G131" s="166"/>
      <c r="H131" s="166"/>
      <c r="I131" s="688"/>
    </row>
    <row r="132" spans="1:9" ht="21.4" hidden="1" customHeight="1">
      <c r="A132" s="231"/>
      <c r="B132" s="207" t="s">
        <v>53</v>
      </c>
      <c r="C132" s="166"/>
      <c r="D132" s="166"/>
      <c r="E132" s="166"/>
      <c r="F132" s="166">
        <v>22</v>
      </c>
      <c r="G132" s="166">
        <v>22</v>
      </c>
      <c r="H132" s="166">
        <v>32</v>
      </c>
      <c r="I132" s="688">
        <v>137</v>
      </c>
    </row>
    <row r="133" spans="1:9" ht="21.4" hidden="1" customHeight="1">
      <c r="A133" s="231"/>
      <c r="B133" s="207" t="s">
        <v>54</v>
      </c>
      <c r="C133" s="166"/>
      <c r="D133" s="166"/>
      <c r="E133" s="166">
        <f>2264+2997+1186+1812</f>
        <v>8259</v>
      </c>
      <c r="F133" s="166"/>
      <c r="G133" s="166"/>
      <c r="H133" s="166"/>
      <c r="I133" s="688"/>
    </row>
    <row r="134" spans="1:9" ht="21.4" hidden="1" customHeight="1">
      <c r="A134" s="231"/>
      <c r="B134" s="207" t="s">
        <v>47</v>
      </c>
      <c r="C134" s="166">
        <v>517</v>
      </c>
      <c r="D134" s="166">
        <v>395</v>
      </c>
      <c r="E134" s="166">
        <v>790</v>
      </c>
      <c r="F134" s="166"/>
      <c r="G134" s="166"/>
      <c r="H134" s="166"/>
      <c r="I134" s="688"/>
    </row>
    <row r="135" spans="1:9" ht="21.4" hidden="1" customHeight="1">
      <c r="A135" s="231"/>
      <c r="B135" s="207" t="s">
        <v>256</v>
      </c>
      <c r="C135" s="166"/>
      <c r="D135" s="166"/>
      <c r="E135" s="166">
        <v>2362</v>
      </c>
      <c r="F135" s="166"/>
      <c r="G135" s="166"/>
      <c r="H135" s="166"/>
      <c r="I135" s="688"/>
    </row>
    <row r="136" spans="1:9" ht="21.4" hidden="1" customHeight="1">
      <c r="A136" s="231"/>
      <c r="B136" s="207" t="s">
        <v>215</v>
      </c>
      <c r="C136" s="166">
        <f>1008+2259</f>
        <v>3267</v>
      </c>
      <c r="D136" s="166">
        <f>26+1775</f>
        <v>1801</v>
      </c>
      <c r="E136" s="166">
        <v>2879</v>
      </c>
      <c r="F136" s="166"/>
      <c r="G136" s="166"/>
      <c r="H136" s="166"/>
      <c r="I136" s="688"/>
    </row>
    <row r="137" spans="1:9" ht="21.4" hidden="1" customHeight="1">
      <c r="A137" s="231"/>
      <c r="B137" s="207" t="s">
        <v>213</v>
      </c>
      <c r="C137" s="166">
        <v>178</v>
      </c>
      <c r="D137" s="166">
        <v>76</v>
      </c>
      <c r="E137" s="166"/>
      <c r="F137" s="166"/>
      <c r="G137" s="166"/>
      <c r="H137" s="166"/>
      <c r="I137" s="688"/>
    </row>
    <row r="138" spans="1:9" ht="21.4" hidden="1" customHeight="1" thickBot="1">
      <c r="A138" s="290"/>
      <c r="B138" s="234" t="s">
        <v>16</v>
      </c>
      <c r="C138" s="217">
        <f t="shared" ref="C138:H138" si="14">SUM(C129:C137)</f>
        <v>6070</v>
      </c>
      <c r="D138" s="217">
        <f t="shared" si="14"/>
        <v>4750</v>
      </c>
      <c r="E138" s="217">
        <f>SUM(E129:E137)</f>
        <v>14290</v>
      </c>
      <c r="F138" s="217">
        <f t="shared" si="14"/>
        <v>22</v>
      </c>
      <c r="G138" s="217">
        <f t="shared" si="14"/>
        <v>22</v>
      </c>
      <c r="H138" s="217">
        <f t="shared" si="14"/>
        <v>32</v>
      </c>
      <c r="I138" s="605">
        <f>SUM(I129:I137)</f>
        <v>137</v>
      </c>
    </row>
    <row r="139" spans="1:9" ht="21.4" hidden="1" customHeight="1">
      <c r="A139" s="229" t="s">
        <v>293</v>
      </c>
      <c r="B139" s="207" t="s">
        <v>38</v>
      </c>
      <c r="C139" s="166">
        <v>599</v>
      </c>
      <c r="D139" s="166">
        <v>1604</v>
      </c>
      <c r="E139" s="166"/>
      <c r="F139" s="166"/>
      <c r="G139" s="166"/>
      <c r="H139" s="166"/>
      <c r="I139" s="688"/>
    </row>
    <row r="140" spans="1:9" ht="21.4" hidden="1" customHeight="1">
      <c r="A140" s="229"/>
      <c r="B140" s="207" t="s">
        <v>39</v>
      </c>
      <c r="C140" s="166">
        <v>1471</v>
      </c>
      <c r="D140" s="166">
        <v>1633</v>
      </c>
      <c r="E140" s="166"/>
      <c r="F140" s="166"/>
      <c r="G140" s="166"/>
      <c r="H140" s="166"/>
      <c r="I140" s="688"/>
    </row>
    <row r="141" spans="1:9" ht="21.4" hidden="1" customHeight="1">
      <c r="A141" s="231"/>
      <c r="B141" s="207" t="s">
        <v>41</v>
      </c>
      <c r="C141" s="166">
        <v>81</v>
      </c>
      <c r="D141" s="166">
        <v>57</v>
      </c>
      <c r="E141" s="166"/>
      <c r="F141" s="166"/>
      <c r="G141" s="166"/>
      <c r="H141" s="166"/>
      <c r="I141" s="688"/>
    </row>
    <row r="142" spans="1:9" ht="21.4" hidden="1" customHeight="1">
      <c r="A142" s="231"/>
      <c r="B142" s="207" t="s">
        <v>53</v>
      </c>
      <c r="C142" s="166"/>
      <c r="D142" s="166"/>
      <c r="E142" s="166"/>
      <c r="F142" s="166">
        <v>16.239999999999998</v>
      </c>
      <c r="G142" s="166">
        <v>17.600000000000001</v>
      </c>
      <c r="H142" s="166">
        <v>21.61</v>
      </c>
      <c r="I142" s="688">
        <v>93.14</v>
      </c>
    </row>
    <row r="143" spans="1:9" ht="21.4" hidden="1" customHeight="1">
      <c r="A143" s="231"/>
      <c r="B143" s="207" t="s">
        <v>54</v>
      </c>
      <c r="C143" s="166"/>
      <c r="D143" s="166"/>
      <c r="E143" s="166">
        <v>8321</v>
      </c>
      <c r="F143" s="166"/>
      <c r="G143" s="166"/>
      <c r="H143" s="166"/>
      <c r="I143" s="688"/>
    </row>
    <row r="144" spans="1:9" ht="21.4" hidden="1" customHeight="1">
      <c r="A144" s="231"/>
      <c r="B144" s="207" t="s">
        <v>47</v>
      </c>
      <c r="C144" s="166">
        <v>581</v>
      </c>
      <c r="D144" s="166">
        <v>478</v>
      </c>
      <c r="E144" s="166">
        <v>796</v>
      </c>
      <c r="F144" s="166"/>
      <c r="G144" s="166"/>
      <c r="H144" s="166"/>
      <c r="I144" s="688"/>
    </row>
    <row r="145" spans="1:9" ht="21.4" hidden="1" customHeight="1">
      <c r="A145" s="231"/>
      <c r="B145" s="207" t="s">
        <v>256</v>
      </c>
      <c r="C145" s="166"/>
      <c r="D145" s="166"/>
      <c r="E145" s="166">
        <v>2552</v>
      </c>
      <c r="F145" s="166"/>
      <c r="G145" s="166"/>
      <c r="H145" s="166"/>
      <c r="I145" s="688"/>
    </row>
    <row r="146" spans="1:9" ht="21.4" hidden="1" customHeight="1">
      <c r="A146" s="231"/>
      <c r="B146" s="207" t="s">
        <v>215</v>
      </c>
      <c r="C146" s="166">
        <v>3450</v>
      </c>
      <c r="D146" s="166">
        <f>91+1662</f>
        <v>1753</v>
      </c>
      <c r="E146" s="166">
        <v>2699</v>
      </c>
      <c r="F146" s="166"/>
      <c r="G146" s="166"/>
      <c r="H146" s="166"/>
      <c r="I146" s="688"/>
    </row>
    <row r="147" spans="1:9" ht="21.4" hidden="1" customHeight="1" thickBot="1">
      <c r="A147" s="290"/>
      <c r="B147" s="234" t="s">
        <v>16</v>
      </c>
      <c r="C147" s="217">
        <f t="shared" ref="C147:I147" si="15">SUM(C139:C146)</f>
        <v>6182</v>
      </c>
      <c r="D147" s="217">
        <f t="shared" si="15"/>
        <v>5525</v>
      </c>
      <c r="E147" s="217">
        <f t="shared" si="15"/>
        <v>14368</v>
      </c>
      <c r="F147" s="217">
        <f t="shared" si="15"/>
        <v>16.239999999999998</v>
      </c>
      <c r="G147" s="217">
        <f t="shared" si="15"/>
        <v>17.600000000000001</v>
      </c>
      <c r="H147" s="217">
        <f t="shared" si="15"/>
        <v>21.61</v>
      </c>
      <c r="I147" s="605">
        <f t="shared" si="15"/>
        <v>93.14</v>
      </c>
    </row>
    <row r="148" spans="1:9" ht="21.4" hidden="1" customHeight="1">
      <c r="A148" s="229" t="s">
        <v>301</v>
      </c>
      <c r="B148" s="207" t="s">
        <v>38</v>
      </c>
      <c r="C148" s="166">
        <v>1182</v>
      </c>
      <c r="D148" s="166">
        <v>1128</v>
      </c>
      <c r="E148" s="166"/>
      <c r="F148" s="166"/>
      <c r="G148" s="166"/>
      <c r="H148" s="166"/>
      <c r="I148" s="688"/>
    </row>
    <row r="149" spans="1:9" ht="21.4" hidden="1" customHeight="1">
      <c r="A149" s="229"/>
      <c r="B149" s="207" t="s">
        <v>39</v>
      </c>
      <c r="C149" s="166">
        <v>1139</v>
      </c>
      <c r="D149" s="166">
        <v>1461</v>
      </c>
      <c r="E149" s="166"/>
      <c r="F149" s="166"/>
      <c r="G149" s="166"/>
      <c r="H149" s="166"/>
      <c r="I149" s="688"/>
    </row>
    <row r="150" spans="1:9" ht="21.4" hidden="1" customHeight="1">
      <c r="A150" s="231"/>
      <c r="B150" s="207" t="s">
        <v>41</v>
      </c>
      <c r="C150" s="166">
        <v>41</v>
      </c>
      <c r="D150" s="166">
        <v>32</v>
      </c>
      <c r="E150" s="166"/>
      <c r="F150" s="166"/>
      <c r="G150" s="166"/>
      <c r="H150" s="166"/>
      <c r="I150" s="688"/>
    </row>
    <row r="151" spans="1:9" ht="21.4" hidden="1" customHeight="1">
      <c r="A151" s="231"/>
      <c r="B151" s="207" t="s">
        <v>53</v>
      </c>
      <c r="C151" s="166"/>
      <c r="D151" s="166"/>
      <c r="E151" s="166"/>
      <c r="F151" s="166">
        <v>9</v>
      </c>
      <c r="G151" s="166">
        <v>12</v>
      </c>
      <c r="H151" s="166">
        <v>11</v>
      </c>
      <c r="I151" s="688">
        <v>47</v>
      </c>
    </row>
    <row r="152" spans="1:9" ht="21.4" hidden="1" customHeight="1">
      <c r="A152" s="231"/>
      <c r="B152" s="207" t="s">
        <v>54</v>
      </c>
      <c r="C152" s="166"/>
      <c r="D152" s="166"/>
      <c r="E152" s="166">
        <f>E156-E153-E154-E155</f>
        <v>7828</v>
      </c>
      <c r="F152" s="166"/>
      <c r="G152" s="166"/>
      <c r="H152" s="166"/>
      <c r="I152" s="688"/>
    </row>
    <row r="153" spans="1:9" ht="21.4" hidden="1" customHeight="1">
      <c r="A153" s="231"/>
      <c r="B153" s="207" t="s">
        <v>47</v>
      </c>
      <c r="C153" s="166">
        <v>712</v>
      </c>
      <c r="D153" s="166">
        <v>481</v>
      </c>
      <c r="E153" s="166">
        <v>834</v>
      </c>
      <c r="F153" s="166"/>
      <c r="G153" s="166"/>
      <c r="H153" s="166"/>
      <c r="I153" s="688"/>
    </row>
    <row r="154" spans="1:9" ht="21.4" hidden="1" customHeight="1">
      <c r="A154" s="231"/>
      <c r="B154" s="207" t="s">
        <v>256</v>
      </c>
      <c r="C154" s="166"/>
      <c r="D154" s="166"/>
      <c r="E154" s="166">
        <v>2523</v>
      </c>
      <c r="F154" s="166"/>
      <c r="G154" s="166"/>
      <c r="H154" s="166"/>
      <c r="I154" s="688"/>
    </row>
    <row r="155" spans="1:9" ht="21.4" hidden="1" customHeight="1">
      <c r="A155" s="231"/>
      <c r="B155" s="207" t="s">
        <v>215</v>
      </c>
      <c r="C155" s="166">
        <f>787+2553</f>
        <v>3340</v>
      </c>
      <c r="D155" s="166">
        <f>59+1437</f>
        <v>1496</v>
      </c>
      <c r="E155" s="166">
        <v>2594</v>
      </c>
      <c r="F155" s="166"/>
      <c r="G155" s="166"/>
      <c r="H155" s="166"/>
      <c r="I155" s="688"/>
    </row>
    <row r="156" spans="1:9" ht="21.4" hidden="1" customHeight="1" thickBot="1">
      <c r="A156" s="291"/>
      <c r="B156" s="235" t="s">
        <v>16</v>
      </c>
      <c r="C156" s="591">
        <f>SUM(C148:C155)</f>
        <v>6414</v>
      </c>
      <c r="D156" s="591">
        <f>SUM(D148:D155)</f>
        <v>4598</v>
      </c>
      <c r="E156" s="591">
        <v>13779</v>
      </c>
      <c r="F156" s="591">
        <f>SUM(F148:F155)</f>
        <v>9</v>
      </c>
      <c r="G156" s="591">
        <f>SUM(G148:G155)</f>
        <v>12</v>
      </c>
      <c r="H156" s="591">
        <f>SUM(H148:H155)</f>
        <v>11</v>
      </c>
      <c r="I156" s="607">
        <f>SUM(I148:I155)</f>
        <v>47</v>
      </c>
    </row>
    <row r="157" spans="1:9" ht="21.4" hidden="1" customHeight="1">
      <c r="A157" s="229" t="s">
        <v>309</v>
      </c>
      <c r="B157" s="207" t="s">
        <v>38</v>
      </c>
      <c r="C157" s="166">
        <v>801</v>
      </c>
      <c r="D157" s="166">
        <v>634</v>
      </c>
      <c r="E157" s="166"/>
      <c r="F157" s="166"/>
      <c r="G157" s="166"/>
      <c r="H157" s="166"/>
      <c r="I157" s="688"/>
    </row>
    <row r="158" spans="1:9" ht="21.4" hidden="1" customHeight="1">
      <c r="A158" s="229"/>
      <c r="B158" s="207" t="s">
        <v>39</v>
      </c>
      <c r="C158" s="166">
        <v>1115</v>
      </c>
      <c r="D158" s="166">
        <v>1222</v>
      </c>
      <c r="E158" s="166"/>
      <c r="F158" s="166"/>
      <c r="G158" s="166"/>
      <c r="H158" s="166"/>
      <c r="I158" s="688"/>
    </row>
    <row r="159" spans="1:9" ht="21.4" hidden="1" customHeight="1">
      <c r="A159" s="231"/>
      <c r="B159" s="207" t="s">
        <v>41</v>
      </c>
      <c r="C159" s="166"/>
      <c r="D159" s="166"/>
      <c r="E159" s="166"/>
      <c r="F159" s="166"/>
      <c r="G159" s="166"/>
      <c r="H159" s="166"/>
      <c r="I159" s="688"/>
    </row>
    <row r="160" spans="1:9" ht="21.4" hidden="1" customHeight="1">
      <c r="A160" s="231"/>
      <c r="B160" s="207" t="s">
        <v>53</v>
      </c>
      <c r="C160" s="166"/>
      <c r="D160" s="166"/>
      <c r="E160" s="166"/>
      <c r="F160" s="166">
        <v>5.9290000000000003</v>
      </c>
      <c r="G160" s="166">
        <v>9.343</v>
      </c>
      <c r="H160" s="166">
        <v>0.79800000000000004</v>
      </c>
      <c r="I160" s="688">
        <v>37.164000000000001</v>
      </c>
    </row>
    <row r="161" spans="1:9" ht="21.4" hidden="1" customHeight="1">
      <c r="A161" s="231"/>
      <c r="B161" s="207" t="s">
        <v>54</v>
      </c>
      <c r="C161" s="166"/>
      <c r="D161" s="166"/>
      <c r="E161" s="166">
        <f>E165-E162-E163-E164</f>
        <v>7940</v>
      </c>
      <c r="F161" s="166"/>
      <c r="G161" s="166"/>
      <c r="H161" s="166"/>
      <c r="I161" s="688"/>
    </row>
    <row r="162" spans="1:9" ht="21.4" hidden="1" customHeight="1">
      <c r="A162" s="231"/>
      <c r="B162" s="207" t="s">
        <v>47</v>
      </c>
      <c r="C162" s="166">
        <v>660</v>
      </c>
      <c r="D162" s="166">
        <v>485</v>
      </c>
      <c r="E162" s="166">
        <v>877</v>
      </c>
      <c r="F162" s="166"/>
      <c r="G162" s="166"/>
      <c r="H162" s="166"/>
      <c r="I162" s="688"/>
    </row>
    <row r="163" spans="1:9" ht="21.4" hidden="1" customHeight="1">
      <c r="A163" s="231"/>
      <c r="B163" s="207" t="s">
        <v>256</v>
      </c>
      <c r="C163" s="166"/>
      <c r="D163" s="166"/>
      <c r="E163" s="166">
        <v>2523</v>
      </c>
      <c r="F163" s="166"/>
      <c r="G163" s="166"/>
      <c r="H163" s="166"/>
      <c r="I163" s="688"/>
    </row>
    <row r="164" spans="1:9" ht="21.4" hidden="1" customHeight="1">
      <c r="A164" s="231"/>
      <c r="B164" s="207" t="s">
        <v>215</v>
      </c>
      <c r="C164" s="166">
        <f>820+2357</f>
        <v>3177</v>
      </c>
      <c r="D164" s="166">
        <f>8+1321</f>
        <v>1329</v>
      </c>
      <c r="E164" s="166">
        <v>2529</v>
      </c>
      <c r="F164" s="166"/>
      <c r="G164" s="166"/>
      <c r="H164" s="166"/>
      <c r="I164" s="688"/>
    </row>
    <row r="165" spans="1:9" ht="21.4" hidden="1" customHeight="1">
      <c r="A165" s="292"/>
      <c r="B165" s="225" t="s">
        <v>16</v>
      </c>
      <c r="C165" s="689">
        <f>SUM(C157:C164)</f>
        <v>5753</v>
      </c>
      <c r="D165" s="689">
        <f>SUM(D157:D164)</f>
        <v>3670</v>
      </c>
      <c r="E165" s="689">
        <v>13869</v>
      </c>
      <c r="F165" s="689">
        <f>SUM(F157:F164)</f>
        <v>5.9290000000000003</v>
      </c>
      <c r="G165" s="689">
        <f>SUM(G157:G164)</f>
        <v>9.343</v>
      </c>
      <c r="H165" s="689">
        <f>SUM(H157:H164)</f>
        <v>0.79800000000000004</v>
      </c>
      <c r="I165" s="690">
        <f>SUM(I157:I164)</f>
        <v>37.164000000000001</v>
      </c>
    </row>
    <row r="166" spans="1:9" ht="21.4" hidden="1" customHeight="1">
      <c r="A166" s="229" t="s">
        <v>319</v>
      </c>
      <c r="B166" s="260" t="s">
        <v>38</v>
      </c>
      <c r="C166" s="691">
        <v>0.63400000000000001</v>
      </c>
      <c r="D166" s="692">
        <v>0.76600000000000001</v>
      </c>
      <c r="E166" s="692"/>
      <c r="F166" s="692"/>
      <c r="G166" s="692"/>
      <c r="H166" s="692"/>
      <c r="I166" s="693"/>
    </row>
    <row r="167" spans="1:9" ht="21.4" hidden="1" customHeight="1">
      <c r="A167" s="229"/>
      <c r="B167" s="261" t="s">
        <v>39</v>
      </c>
      <c r="C167" s="273">
        <v>0.80500000000000005</v>
      </c>
      <c r="D167" s="601">
        <v>1.1080000000000001</v>
      </c>
      <c r="E167" s="601"/>
      <c r="F167" s="601"/>
      <c r="G167" s="601"/>
      <c r="H167" s="601"/>
      <c r="I167" s="694"/>
    </row>
    <row r="168" spans="1:9" ht="21.4" hidden="1" customHeight="1">
      <c r="A168" s="231"/>
      <c r="B168" s="261" t="s">
        <v>41</v>
      </c>
      <c r="C168" s="273"/>
      <c r="D168" s="601"/>
      <c r="E168" s="601"/>
      <c r="F168" s="601"/>
      <c r="G168" s="601"/>
      <c r="H168" s="601"/>
      <c r="I168" s="694"/>
    </row>
    <row r="169" spans="1:9" ht="21.4" hidden="1" customHeight="1">
      <c r="A169" s="231"/>
      <c r="B169" s="261" t="s">
        <v>53</v>
      </c>
      <c r="C169" s="273"/>
      <c r="D169" s="601"/>
      <c r="E169" s="601"/>
      <c r="F169" s="601">
        <v>2.5710000000000004E-3</v>
      </c>
      <c r="G169" s="601">
        <v>3.8669999999999998E-3</v>
      </c>
      <c r="H169" s="601">
        <v>2.7370000000000003E-3</v>
      </c>
      <c r="I169" s="694">
        <v>4.8000000000000001E-2</v>
      </c>
    </row>
    <row r="170" spans="1:9" ht="21.4" hidden="1" customHeight="1">
      <c r="A170" s="231"/>
      <c r="B170" s="261" t="s">
        <v>54</v>
      </c>
      <c r="C170" s="273"/>
      <c r="D170" s="601"/>
      <c r="E170" s="601">
        <v>8.2149999999999999</v>
      </c>
      <c r="F170" s="601"/>
      <c r="G170" s="601"/>
      <c r="H170" s="601"/>
      <c r="I170" s="694"/>
    </row>
    <row r="171" spans="1:9" ht="21.4" hidden="1" customHeight="1">
      <c r="A171" s="231"/>
      <c r="B171" s="261" t="s">
        <v>47</v>
      </c>
      <c r="C171" s="273">
        <v>0.39600000000000002</v>
      </c>
      <c r="D171" s="601">
        <v>0.27500000000000002</v>
      </c>
      <c r="E171" s="601">
        <v>0.91500000000000004</v>
      </c>
      <c r="F171" s="601"/>
      <c r="G171" s="601"/>
      <c r="H171" s="601"/>
      <c r="I171" s="694"/>
    </row>
    <row r="172" spans="1:9" ht="21.4" hidden="1" customHeight="1">
      <c r="A172" s="231"/>
      <c r="B172" s="261" t="s">
        <v>256</v>
      </c>
      <c r="C172" s="273"/>
      <c r="D172" s="601"/>
      <c r="E172" s="601">
        <v>2.5230000000000001</v>
      </c>
      <c r="F172" s="601"/>
      <c r="G172" s="601"/>
      <c r="H172" s="601"/>
      <c r="I172" s="694"/>
    </row>
    <row r="173" spans="1:9" ht="21.4" hidden="1" customHeight="1">
      <c r="A173" s="231"/>
      <c r="B173" s="262" t="s">
        <v>215</v>
      </c>
      <c r="C173" s="274">
        <v>3.7349999999999999</v>
      </c>
      <c r="D173" s="602">
        <v>1.353</v>
      </c>
      <c r="E173" s="602">
        <v>2.5289999999999999</v>
      </c>
      <c r="F173" s="602"/>
      <c r="G173" s="602"/>
      <c r="H173" s="602"/>
      <c r="I173" s="695"/>
    </row>
    <row r="174" spans="1:9" ht="21.4" hidden="1" customHeight="1">
      <c r="A174" s="730"/>
      <c r="B174" s="714" t="s">
        <v>76</v>
      </c>
      <c r="C174" s="699">
        <f t="shared" ref="C174:I174" si="16">SUM(C166:C173)</f>
        <v>5.57</v>
      </c>
      <c r="D174" s="699">
        <f t="shared" si="16"/>
        <v>3.5019999999999998</v>
      </c>
      <c r="E174" s="699">
        <f t="shared" si="16"/>
        <v>14.181999999999999</v>
      </c>
      <c r="F174" s="699">
        <f t="shared" si="16"/>
        <v>2.5710000000000004E-3</v>
      </c>
      <c r="G174" s="699">
        <f t="shared" si="16"/>
        <v>3.8669999999999998E-3</v>
      </c>
      <c r="H174" s="699">
        <f t="shared" si="16"/>
        <v>2.7370000000000003E-3</v>
      </c>
      <c r="I174" s="715">
        <f t="shared" si="16"/>
        <v>4.8000000000000001E-2</v>
      </c>
    </row>
    <row r="175" spans="1:9" ht="19.5" hidden="1" customHeight="1">
      <c r="A175" s="229" t="s">
        <v>332</v>
      </c>
      <c r="B175" s="260" t="s">
        <v>38</v>
      </c>
      <c r="C175" s="691">
        <v>0.66400000000000003</v>
      </c>
      <c r="D175" s="692">
        <v>0.81200000000000006</v>
      </c>
      <c r="E175" s="692"/>
      <c r="F175" s="692"/>
      <c r="G175" s="692"/>
      <c r="H175" s="692"/>
      <c r="I175" s="693"/>
    </row>
    <row r="176" spans="1:9" ht="19.5" hidden="1" customHeight="1">
      <c r="A176" s="229"/>
      <c r="B176" s="261" t="s">
        <v>39</v>
      </c>
      <c r="C176" s="273">
        <v>0.76200000000000001</v>
      </c>
      <c r="D176" s="601">
        <v>1.093</v>
      </c>
      <c r="E176" s="601"/>
      <c r="F176" s="601"/>
      <c r="G176" s="601"/>
      <c r="H176" s="601"/>
      <c r="I176" s="694"/>
    </row>
    <row r="177" spans="1:9" ht="19.5" hidden="1" customHeight="1">
      <c r="A177" s="231"/>
      <c r="B177" s="261" t="s">
        <v>41</v>
      </c>
      <c r="C177" s="273"/>
      <c r="D177" s="601"/>
      <c r="E177" s="601"/>
      <c r="F177" s="601"/>
      <c r="G177" s="601"/>
      <c r="H177" s="601"/>
      <c r="I177" s="694"/>
    </row>
    <row r="178" spans="1:9" ht="19.5" hidden="1" customHeight="1">
      <c r="A178" s="231"/>
      <c r="B178" s="261" t="s">
        <v>53</v>
      </c>
      <c r="C178" s="273"/>
      <c r="D178" s="601"/>
      <c r="E178" s="601"/>
      <c r="F178" s="601">
        <v>1E-3</v>
      </c>
      <c r="G178" s="601">
        <v>1E-3</v>
      </c>
      <c r="H178" s="601">
        <v>2E-3</v>
      </c>
      <c r="I178" s="694">
        <v>3.2000000000000001E-2</v>
      </c>
    </row>
    <row r="179" spans="1:9" ht="19.5" hidden="1" customHeight="1">
      <c r="A179" s="231"/>
      <c r="B179" s="261" t="s">
        <v>54</v>
      </c>
      <c r="C179" s="273"/>
      <c r="D179" s="601"/>
      <c r="E179" s="601">
        <v>9.7940000000000005</v>
      </c>
      <c r="F179" s="601"/>
      <c r="G179" s="601"/>
      <c r="H179" s="601"/>
      <c r="I179" s="694"/>
    </row>
    <row r="180" spans="1:9" ht="19.5" hidden="1" customHeight="1">
      <c r="A180" s="231"/>
      <c r="B180" s="261" t="s">
        <v>47</v>
      </c>
      <c r="C180" s="273">
        <v>0.38600000000000001</v>
      </c>
      <c r="D180" s="601">
        <v>0.41299999999999998</v>
      </c>
      <c r="E180" s="601">
        <v>0</v>
      </c>
      <c r="F180" s="601"/>
      <c r="G180" s="601"/>
      <c r="H180" s="601"/>
      <c r="I180" s="694"/>
    </row>
    <row r="181" spans="1:9" ht="19.5" hidden="1" customHeight="1">
      <c r="A181" s="231"/>
      <c r="B181" s="261" t="s">
        <v>256</v>
      </c>
      <c r="C181" s="273"/>
      <c r="D181" s="601"/>
      <c r="E181" s="601">
        <v>2.4790000000000001</v>
      </c>
      <c r="F181" s="601"/>
      <c r="G181" s="601"/>
      <c r="H181" s="601"/>
      <c r="I181" s="694"/>
    </row>
    <row r="182" spans="1:9" ht="19.5" hidden="1" customHeight="1">
      <c r="A182" s="231"/>
      <c r="B182" s="262" t="s">
        <v>215</v>
      </c>
      <c r="C182" s="274">
        <v>3.4729999999999999</v>
      </c>
      <c r="D182" s="602">
        <v>1.2290000000000001</v>
      </c>
      <c r="E182" s="602">
        <v>2.5710000000000002</v>
      </c>
      <c r="F182" s="602"/>
      <c r="G182" s="602"/>
      <c r="H182" s="602"/>
      <c r="I182" s="695"/>
    </row>
    <row r="183" spans="1:9" ht="19.5" hidden="1" customHeight="1">
      <c r="A183" s="730"/>
      <c r="B183" s="714" t="s">
        <v>76</v>
      </c>
      <c r="C183" s="713">
        <f t="shared" ref="C183:I183" si="17">SUM(C175:C182)</f>
        <v>5.2850000000000001</v>
      </c>
      <c r="D183" s="699">
        <f t="shared" si="17"/>
        <v>3.5470000000000002</v>
      </c>
      <c r="E183" s="699">
        <f t="shared" si="17"/>
        <v>14.843999999999999</v>
      </c>
      <c r="F183" s="699">
        <f t="shared" si="17"/>
        <v>1E-3</v>
      </c>
      <c r="G183" s="699">
        <f t="shared" si="17"/>
        <v>1E-3</v>
      </c>
      <c r="H183" s="699">
        <f t="shared" si="17"/>
        <v>2E-3</v>
      </c>
      <c r="I183" s="715">
        <f t="shared" si="17"/>
        <v>3.2000000000000001E-2</v>
      </c>
    </row>
    <row r="184" spans="1:9" ht="19.5" customHeight="1">
      <c r="A184" s="229" t="s">
        <v>345</v>
      </c>
      <c r="B184" s="260" t="s">
        <v>38</v>
      </c>
      <c r="C184" s="691">
        <v>0.36499999999999999</v>
      </c>
      <c r="D184" s="692">
        <v>1.304</v>
      </c>
      <c r="E184" s="692"/>
      <c r="F184" s="692"/>
      <c r="G184" s="692"/>
      <c r="H184" s="692"/>
      <c r="I184" s="693"/>
    </row>
    <row r="185" spans="1:9" ht="19.5" customHeight="1">
      <c r="A185" s="229"/>
      <c r="B185" s="261" t="s">
        <v>39</v>
      </c>
      <c r="C185" s="273">
        <v>0.437</v>
      </c>
      <c r="D185" s="601">
        <v>0.77300000000000002</v>
      </c>
      <c r="E185" s="601"/>
      <c r="F185" s="601"/>
      <c r="G185" s="601"/>
      <c r="H185" s="601"/>
      <c r="I185" s="694"/>
    </row>
    <row r="186" spans="1:9" ht="19.5" customHeight="1">
      <c r="A186" s="231"/>
      <c r="B186" s="261" t="s">
        <v>41</v>
      </c>
      <c r="C186" s="273"/>
      <c r="D186" s="601"/>
      <c r="E186" s="601"/>
      <c r="F186" s="601"/>
      <c r="G186" s="601"/>
      <c r="H186" s="601"/>
      <c r="I186" s="694"/>
    </row>
    <row r="187" spans="1:9" ht="19.5" customHeight="1">
      <c r="A187" s="231"/>
      <c r="B187" s="261" t="s">
        <v>53</v>
      </c>
      <c r="C187" s="273"/>
      <c r="D187" s="601"/>
      <c r="E187" s="601"/>
      <c r="F187" s="601">
        <v>1E-3</v>
      </c>
      <c r="G187" s="601">
        <v>1E-3</v>
      </c>
      <c r="H187" s="601">
        <v>0</v>
      </c>
      <c r="I187" s="694">
        <v>2.4E-2</v>
      </c>
    </row>
    <row r="188" spans="1:9" ht="19.5" customHeight="1">
      <c r="A188" s="231"/>
      <c r="B188" s="261" t="s">
        <v>54</v>
      </c>
      <c r="C188" s="273"/>
      <c r="D188" s="601"/>
      <c r="E188" s="601">
        <v>8.2880000000000003</v>
      </c>
      <c r="F188" s="601"/>
      <c r="G188" s="601"/>
      <c r="H188" s="601"/>
      <c r="I188" s="694"/>
    </row>
    <row r="189" spans="1:9" ht="19.5" customHeight="1">
      <c r="A189" s="231"/>
      <c r="B189" s="261" t="s">
        <v>47</v>
      </c>
      <c r="C189" s="273">
        <v>0.59699999999999998</v>
      </c>
      <c r="D189" s="601">
        <v>0.46300000000000002</v>
      </c>
      <c r="E189" s="601">
        <v>0.97699999999999998</v>
      </c>
      <c r="F189" s="601"/>
      <c r="G189" s="601"/>
      <c r="H189" s="601"/>
      <c r="I189" s="694"/>
    </row>
    <row r="190" spans="1:9" ht="19.5" customHeight="1">
      <c r="A190" s="231"/>
      <c r="B190" s="261" t="s">
        <v>256</v>
      </c>
      <c r="C190" s="273"/>
      <c r="D190" s="601"/>
      <c r="E190" s="601">
        <v>2.2450000000000001</v>
      </c>
      <c r="F190" s="601"/>
      <c r="G190" s="601"/>
      <c r="H190" s="601"/>
      <c r="I190" s="694"/>
    </row>
    <row r="191" spans="1:9" ht="19.5" customHeight="1">
      <c r="A191" s="231"/>
      <c r="B191" s="262" t="s">
        <v>215</v>
      </c>
      <c r="C191" s="274">
        <v>3.1190000000000002</v>
      </c>
      <c r="D191" s="602">
        <v>1.083</v>
      </c>
      <c r="E191" s="602">
        <v>2.3849999999999998</v>
      </c>
      <c r="F191" s="602"/>
      <c r="G191" s="602"/>
      <c r="H191" s="602"/>
      <c r="I191" s="695"/>
    </row>
    <row r="192" spans="1:9" ht="19.5" customHeight="1" thickBot="1">
      <c r="A192" s="731"/>
      <c r="B192" s="732" t="s">
        <v>76</v>
      </c>
      <c r="C192" s="702">
        <f t="shared" ref="C192:I192" si="18">SUM(C184:C191)</f>
        <v>4.5180000000000007</v>
      </c>
      <c r="D192" s="700">
        <f t="shared" si="18"/>
        <v>3.6230000000000002</v>
      </c>
      <c r="E192" s="700">
        <f t="shared" si="18"/>
        <v>13.895000000000001</v>
      </c>
      <c r="F192" s="700">
        <f t="shared" si="18"/>
        <v>1E-3</v>
      </c>
      <c r="G192" s="700">
        <f t="shared" si="18"/>
        <v>1E-3</v>
      </c>
      <c r="H192" s="700">
        <f t="shared" si="18"/>
        <v>0</v>
      </c>
      <c r="I192" s="716">
        <f t="shared" si="18"/>
        <v>2.4E-2</v>
      </c>
    </row>
    <row r="193" spans="1:9" ht="19.5" customHeight="1" thickTop="1">
      <c r="A193" s="229" t="s">
        <v>418</v>
      </c>
      <c r="B193" s="260" t="s">
        <v>38</v>
      </c>
      <c r="C193" s="601">
        <v>1.2088110000000001</v>
      </c>
      <c r="D193" s="168">
        <v>1.817483</v>
      </c>
      <c r="E193" s="692"/>
      <c r="F193" s="692"/>
      <c r="G193" s="692"/>
      <c r="H193" s="692"/>
      <c r="I193" s="693"/>
    </row>
    <row r="194" spans="1:9" ht="19.5" customHeight="1">
      <c r="A194" s="229"/>
      <c r="B194" s="261" t="s">
        <v>39</v>
      </c>
      <c r="C194" s="601">
        <v>0.40006799999999998</v>
      </c>
      <c r="D194" s="601">
        <v>0.624942</v>
      </c>
      <c r="E194" s="601"/>
      <c r="F194" s="601"/>
      <c r="G194" s="601"/>
      <c r="H194" s="601"/>
      <c r="I194" s="694"/>
    </row>
    <row r="195" spans="1:9" ht="19.5" customHeight="1">
      <c r="A195" s="231"/>
      <c r="B195" s="261" t="s">
        <v>41</v>
      </c>
      <c r="C195" s="601"/>
      <c r="D195" s="601"/>
      <c r="E195" s="601"/>
      <c r="F195" s="601"/>
      <c r="G195" s="601"/>
      <c r="H195" s="601"/>
      <c r="I195" s="694"/>
    </row>
    <row r="196" spans="1:9" ht="19.5" customHeight="1">
      <c r="A196" s="231"/>
      <c r="B196" s="261" t="s">
        <v>53</v>
      </c>
      <c r="C196" s="601"/>
      <c r="D196" s="601"/>
      <c r="E196" s="601"/>
      <c r="F196" s="601"/>
      <c r="G196" s="601"/>
      <c r="H196" s="601"/>
      <c r="I196" s="694"/>
    </row>
    <row r="197" spans="1:9" ht="19.5" customHeight="1">
      <c r="A197" s="231"/>
      <c r="B197" s="261" t="s">
        <v>54</v>
      </c>
      <c r="C197" s="601"/>
      <c r="D197" s="601"/>
      <c r="E197" s="601"/>
      <c r="F197" s="601"/>
      <c r="G197" s="601"/>
      <c r="H197" s="601"/>
      <c r="I197" s="694"/>
    </row>
    <row r="198" spans="1:9" ht="19.5" customHeight="1">
      <c r="A198" s="231"/>
      <c r="B198" s="261" t="s">
        <v>47</v>
      </c>
      <c r="C198" s="601">
        <v>0.47835999999999995</v>
      </c>
      <c r="D198" s="601">
        <v>0</v>
      </c>
      <c r="E198" s="601"/>
      <c r="F198" s="601"/>
      <c r="G198" s="601"/>
      <c r="H198" s="601"/>
      <c r="I198" s="694"/>
    </row>
    <row r="199" spans="1:9" ht="19.5" customHeight="1">
      <c r="A199" s="231"/>
      <c r="B199" s="261" t="s">
        <v>256</v>
      </c>
      <c r="C199" s="601"/>
      <c r="D199" s="601"/>
      <c r="E199" s="601"/>
      <c r="F199" s="601"/>
      <c r="G199" s="601"/>
      <c r="H199" s="601"/>
      <c r="I199" s="694"/>
    </row>
    <row r="200" spans="1:9" ht="19.5" customHeight="1">
      <c r="A200" s="231"/>
      <c r="B200" s="262" t="s">
        <v>215</v>
      </c>
      <c r="C200" s="601">
        <v>2.6132290000000005</v>
      </c>
      <c r="D200" s="602">
        <v>0</v>
      </c>
      <c r="E200" s="602"/>
      <c r="F200" s="602"/>
      <c r="G200" s="602"/>
      <c r="H200" s="602"/>
      <c r="I200" s="695"/>
    </row>
    <row r="201" spans="1:9" ht="19.5" customHeight="1" thickBot="1">
      <c r="A201" s="731"/>
      <c r="B201" s="732" t="s">
        <v>76</v>
      </c>
      <c r="C201" s="702">
        <f t="shared" ref="C201:I201" si="19">SUM(C193:C200)</f>
        <v>4.7004680000000008</v>
      </c>
      <c r="D201" s="700">
        <f t="shared" si="19"/>
        <v>2.4424250000000001</v>
      </c>
      <c r="E201" s="700">
        <f t="shared" si="19"/>
        <v>0</v>
      </c>
      <c r="F201" s="700">
        <f t="shared" si="19"/>
        <v>0</v>
      </c>
      <c r="G201" s="700">
        <f t="shared" si="19"/>
        <v>0</v>
      </c>
      <c r="H201" s="700">
        <f t="shared" si="19"/>
        <v>0</v>
      </c>
      <c r="I201" s="716">
        <f t="shared" si="19"/>
        <v>0</v>
      </c>
    </row>
    <row r="202" spans="1:9" s="219" customFormat="1" ht="19.5" customHeight="1" thickTop="1">
      <c r="A202" s="931" t="s">
        <v>431</v>
      </c>
      <c r="B202" s="932" t="s">
        <v>38</v>
      </c>
      <c r="C202" s="928">
        <v>1.4339999999999999</v>
      </c>
      <c r="D202" s="933">
        <v>2.4849999999999999</v>
      </c>
      <c r="E202" s="934"/>
      <c r="F202" s="934"/>
      <c r="G202" s="934"/>
      <c r="H202" s="934"/>
      <c r="I202" s="935"/>
    </row>
    <row r="203" spans="1:9" s="219" customFormat="1" ht="19.5" customHeight="1">
      <c r="A203" s="931"/>
      <c r="B203" s="936" t="s">
        <v>39</v>
      </c>
      <c r="C203" s="928">
        <v>0.72199999999999998</v>
      </c>
      <c r="D203" s="928">
        <v>0.73199999999999998</v>
      </c>
      <c r="E203" s="928"/>
      <c r="F203" s="928"/>
      <c r="G203" s="928"/>
      <c r="H203" s="928"/>
      <c r="I203" s="930"/>
    </row>
    <row r="204" spans="1:9" s="219" customFormat="1" ht="19.5" customHeight="1">
      <c r="A204" s="937"/>
      <c r="B204" s="936" t="s">
        <v>41</v>
      </c>
      <c r="C204" s="928">
        <v>0</v>
      </c>
      <c r="D204" s="928"/>
      <c r="E204" s="928"/>
      <c r="F204" s="928"/>
      <c r="G204" s="928"/>
      <c r="H204" s="928"/>
      <c r="I204" s="930"/>
    </row>
    <row r="205" spans="1:9" s="219" customFormat="1" ht="19.5" customHeight="1">
      <c r="A205" s="937"/>
      <c r="B205" s="936" t="s">
        <v>53</v>
      </c>
      <c r="C205" s="928"/>
      <c r="D205" s="928"/>
      <c r="E205" s="928"/>
      <c r="F205" s="928"/>
      <c r="G205" s="928"/>
      <c r="H205" s="928"/>
      <c r="I205" s="930"/>
    </row>
    <row r="206" spans="1:9" s="219" customFormat="1" ht="19.5" customHeight="1">
      <c r="A206" s="937"/>
      <c r="B206" s="936" t="s">
        <v>54</v>
      </c>
      <c r="C206" s="928"/>
      <c r="D206" s="928"/>
      <c r="E206" s="928"/>
      <c r="F206" s="928"/>
      <c r="G206" s="928"/>
      <c r="H206" s="928"/>
      <c r="I206" s="930"/>
    </row>
    <row r="207" spans="1:9" s="219" customFormat="1" ht="19.5" customHeight="1">
      <c r="A207" s="937"/>
      <c r="B207" s="936" t="s">
        <v>47</v>
      </c>
      <c r="C207" s="928">
        <v>0.61899999999999999</v>
      </c>
      <c r="D207" s="928">
        <v>0.55300000000000005</v>
      </c>
      <c r="E207" s="928"/>
      <c r="F207" s="928"/>
      <c r="G207" s="928"/>
      <c r="H207" s="928"/>
      <c r="I207" s="930"/>
    </row>
    <row r="208" spans="1:9" s="219" customFormat="1" ht="19.5" customHeight="1">
      <c r="A208" s="937"/>
      <c r="B208" s="936" t="s">
        <v>256</v>
      </c>
      <c r="C208" s="928">
        <v>0</v>
      </c>
      <c r="D208" s="928"/>
      <c r="E208" s="928"/>
      <c r="F208" s="928"/>
      <c r="G208" s="928"/>
      <c r="H208" s="928"/>
      <c r="I208" s="930"/>
    </row>
    <row r="209" spans="1:9" s="219" customFormat="1" ht="19.5" customHeight="1">
      <c r="A209" s="937"/>
      <c r="B209" s="938" t="s">
        <v>215</v>
      </c>
      <c r="C209" s="928">
        <v>2.5350000000000001</v>
      </c>
      <c r="D209" s="929"/>
      <c r="E209" s="929"/>
      <c r="F209" s="929"/>
      <c r="G209" s="929"/>
      <c r="H209" s="929"/>
      <c r="I209" s="939"/>
    </row>
    <row r="210" spans="1:9" s="219" customFormat="1" ht="19.5" customHeight="1" thickBot="1">
      <c r="A210" s="940"/>
      <c r="B210" s="941" t="s">
        <v>76</v>
      </c>
      <c r="C210" s="942">
        <f t="shared" ref="C210:I210" si="20">SUM(C202:C209)</f>
        <v>5.31</v>
      </c>
      <c r="D210" s="943">
        <f t="shared" si="20"/>
        <v>3.7699999999999996</v>
      </c>
      <c r="E210" s="943">
        <f t="shared" si="20"/>
        <v>0</v>
      </c>
      <c r="F210" s="943">
        <f t="shared" si="20"/>
        <v>0</v>
      </c>
      <c r="G210" s="943">
        <f t="shared" si="20"/>
        <v>0</v>
      </c>
      <c r="H210" s="943">
        <f t="shared" si="20"/>
        <v>0</v>
      </c>
      <c r="I210" s="944">
        <f t="shared" si="20"/>
        <v>0</v>
      </c>
    </row>
  </sheetData>
  <mergeCells count="2">
    <mergeCell ref="A2:I2"/>
    <mergeCell ref="A1:I1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18" orientation="portrait" useFirstPageNumber="1" r:id="rId1"/>
  <headerFooter scaleWithDoc="0" alignWithMargins="0">
    <oddHeader>&amp;C&amp;"Arial Narrow,Regular"&amp;K000099Coal Directory of India 2021-22</oddHeader>
    <oddFooter>&amp;L&amp;"Arial Narrow,Regular"&amp;K000099Coal Controller's Organisation, 5th Floor, Core-II, Scope Minar, Delhi - 110092&amp;R&amp;"Arial Narrow,Regular"&amp;K0000993.&amp;P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>
    <tabColor rgb="FF00B050"/>
  </sheetPr>
  <dimension ref="A1:P22"/>
  <sheetViews>
    <sheetView zoomScaleNormal="100" zoomScaleSheetLayoutView="100" workbookViewId="0">
      <selection activeCell="J11" sqref="J11"/>
    </sheetView>
  </sheetViews>
  <sheetFormatPr defaultRowHeight="12.75"/>
  <cols>
    <col min="1" max="1" width="14.7109375" style="1131" customWidth="1"/>
    <col min="2" max="2" width="13.5703125" style="1131" customWidth="1"/>
    <col min="3" max="3" width="13.42578125" style="1131" customWidth="1"/>
    <col min="4" max="5" width="14.140625" style="1136" customWidth="1"/>
    <col min="6" max="6" width="13.5703125" style="1136" customWidth="1"/>
    <col min="7" max="7" width="9.140625" style="1131"/>
    <col min="8" max="8" width="11.42578125" style="1131" customWidth="1"/>
    <col min="9" max="9" width="9.140625" style="1131"/>
    <col min="10" max="13" width="7.5703125" style="1131" bestFit="1" customWidth="1"/>
    <col min="14" max="20" width="9.140625" style="1131" customWidth="1"/>
    <col min="21" max="16384" width="9.140625" style="1131"/>
  </cols>
  <sheetData>
    <row r="1" spans="1:16" ht="22.5" customHeight="1">
      <c r="A1" s="1604" t="s">
        <v>500</v>
      </c>
      <c r="B1" s="1605"/>
      <c r="C1" s="1605"/>
      <c r="D1" s="1605"/>
      <c r="E1" s="1605"/>
      <c r="F1" s="1606"/>
    </row>
    <row r="2" spans="1:16" ht="16.5" customHeight="1">
      <c r="A2" s="1676" t="s">
        <v>417</v>
      </c>
      <c r="B2" s="1677"/>
      <c r="C2" s="1677"/>
      <c r="D2" s="1677"/>
      <c r="E2" s="1677"/>
      <c r="F2" s="1678"/>
    </row>
    <row r="3" spans="1:16" ht="24" customHeight="1">
      <c r="A3" s="1173" t="s">
        <v>495</v>
      </c>
      <c r="B3" s="1185" t="s">
        <v>345</v>
      </c>
      <c r="C3" s="1185" t="s">
        <v>418</v>
      </c>
      <c r="D3" s="1177" t="s">
        <v>431</v>
      </c>
      <c r="E3" s="1177" t="s">
        <v>504</v>
      </c>
      <c r="F3" s="1177" t="s">
        <v>538</v>
      </c>
    </row>
    <row r="4" spans="1:16" s="1430" customFormat="1" ht="18.75" customHeight="1">
      <c r="A4" s="1429" t="s">
        <v>162</v>
      </c>
      <c r="B4" s="1138" t="s">
        <v>163</v>
      </c>
      <c r="C4" s="1138" t="s">
        <v>164</v>
      </c>
      <c r="D4" s="1138" t="s">
        <v>165</v>
      </c>
      <c r="E4" s="1138" t="s">
        <v>166</v>
      </c>
      <c r="F4" s="1138" t="s">
        <v>167</v>
      </c>
    </row>
    <row r="5" spans="1:16" ht="19.5" customHeight="1">
      <c r="A5" s="1132" t="s">
        <v>158</v>
      </c>
      <c r="B5" s="1236">
        <v>10.813000000000001</v>
      </c>
      <c r="C5" s="1236">
        <v>13.331</v>
      </c>
      <c r="D5" s="1239">
        <v>12.313000000000001</v>
      </c>
      <c r="E5" s="1239">
        <v>11.326000000000001</v>
      </c>
      <c r="F5" s="1312">
        <v>13.298650594000003</v>
      </c>
    </row>
    <row r="6" spans="1:16" ht="19.5" customHeight="1">
      <c r="A6" s="879" t="s">
        <v>159</v>
      </c>
      <c r="B6" s="1237">
        <v>9.0559999999999992</v>
      </c>
      <c r="C6" s="1237">
        <v>10.526</v>
      </c>
      <c r="D6" s="1240">
        <v>10.196999999999999</v>
      </c>
      <c r="E6" s="1240">
        <v>10.015000000000001</v>
      </c>
      <c r="F6" s="1313">
        <v>9.8751034799999999</v>
      </c>
    </row>
    <row r="7" spans="1:16" ht="19.5" customHeight="1">
      <c r="A7" s="879" t="s">
        <v>157</v>
      </c>
      <c r="B7" s="1238">
        <v>18.026</v>
      </c>
      <c r="C7" s="1238">
        <v>23.635000000000002</v>
      </c>
      <c r="D7" s="1240">
        <v>21.518999999999998</v>
      </c>
      <c r="E7" s="1240">
        <v>21.58</v>
      </c>
      <c r="F7" s="1313">
        <v>21.959744080000004</v>
      </c>
    </row>
    <row r="8" spans="1:16" ht="18" customHeight="1" thickBot="1">
      <c r="A8" s="1139" t="s">
        <v>506</v>
      </c>
      <c r="B8" s="1140">
        <v>37.894999999999996</v>
      </c>
      <c r="C8" s="1140">
        <v>47.492000000000004</v>
      </c>
      <c r="D8" s="1140">
        <v>44.028999999999996</v>
      </c>
      <c r="E8" s="1140">
        <v>42.920999999999999</v>
      </c>
      <c r="F8" s="1286">
        <v>45.133498154000009</v>
      </c>
      <c r="H8" s="1314"/>
      <c r="I8" s="1314"/>
      <c r="J8" s="1314"/>
    </row>
    <row r="9" spans="1:16" ht="15" customHeight="1" thickTop="1">
      <c r="A9" s="1604" t="s">
        <v>555</v>
      </c>
      <c r="B9" s="1605"/>
      <c r="C9" s="1605"/>
      <c r="D9" s="1605"/>
      <c r="E9" s="1605"/>
      <c r="F9" s="1606"/>
    </row>
    <row r="10" spans="1:16" ht="21" customHeight="1">
      <c r="A10" s="1676" t="s">
        <v>417</v>
      </c>
      <c r="B10" s="1677"/>
      <c r="C10" s="1677"/>
      <c r="D10" s="1677"/>
      <c r="E10" s="1677"/>
      <c r="F10" s="1678"/>
      <c r="G10" s="1133"/>
    </row>
    <row r="11" spans="1:16" s="1430" customFormat="1" ht="15.75" customHeight="1">
      <c r="A11" s="1500" t="s">
        <v>79</v>
      </c>
      <c r="B11" s="1185" t="s">
        <v>345</v>
      </c>
      <c r="C11" s="1185" t="s">
        <v>418</v>
      </c>
      <c r="D11" s="1177" t="s">
        <v>431</v>
      </c>
      <c r="E11" s="1177" t="s">
        <v>504</v>
      </c>
      <c r="F11" s="1177" t="s">
        <v>538</v>
      </c>
      <c r="G11" s="970"/>
      <c r="H11" s="1131"/>
      <c r="I11" s="1131"/>
      <c r="J11" s="1131"/>
      <c r="K11" s="1131"/>
      <c r="L11" s="1131"/>
      <c r="M11" s="1131"/>
      <c r="N11" s="1131"/>
      <c r="O11" s="1131"/>
      <c r="P11" s="1131"/>
    </row>
    <row r="12" spans="1:16" s="1137" customFormat="1" ht="18" customHeight="1">
      <c r="A12" s="1004" t="s">
        <v>162</v>
      </c>
      <c r="B12" s="1138" t="s">
        <v>163</v>
      </c>
      <c r="C12" s="1138" t="s">
        <v>164</v>
      </c>
      <c r="D12" s="1138" t="s">
        <v>165</v>
      </c>
      <c r="E12" s="1138" t="s">
        <v>166</v>
      </c>
      <c r="F12" s="1138" t="s">
        <v>167</v>
      </c>
      <c r="H12" s="1131"/>
      <c r="I12" s="1131"/>
      <c r="J12" s="1131"/>
      <c r="K12" s="1131"/>
      <c r="L12" s="1131"/>
      <c r="M12" s="1131"/>
      <c r="N12" s="1131"/>
      <c r="O12" s="1131"/>
      <c r="P12" s="1131"/>
    </row>
    <row r="13" spans="1:16" s="1137" customFormat="1" ht="18" customHeight="1">
      <c r="A13" s="1134" t="s">
        <v>55</v>
      </c>
      <c r="B13" s="1303">
        <v>19.263000000000005</v>
      </c>
      <c r="C13" s="1303">
        <v>25.113</v>
      </c>
      <c r="D13" s="1304">
        <v>23.53</v>
      </c>
      <c r="E13" s="1304">
        <v>23.68</v>
      </c>
      <c r="F13" s="1305">
        <v>24.059738729999999</v>
      </c>
      <c r="H13" s="1131"/>
      <c r="I13" s="1131"/>
      <c r="J13" s="1131"/>
      <c r="K13" s="1131"/>
      <c r="L13" s="1131"/>
      <c r="M13" s="1131"/>
      <c r="N13" s="1131"/>
      <c r="O13" s="1131"/>
      <c r="P13" s="1131"/>
    </row>
    <row r="14" spans="1:16" s="1137" customFormat="1" ht="18" customHeight="1">
      <c r="A14" s="879" t="s">
        <v>87</v>
      </c>
      <c r="B14" s="1306">
        <v>6.0039999999999996</v>
      </c>
      <c r="C14" s="1306">
        <v>8.5549999999999997</v>
      </c>
      <c r="D14" s="1307">
        <v>7.58</v>
      </c>
      <c r="E14" s="1307">
        <v>6.3710000000000004</v>
      </c>
      <c r="F14" s="1308">
        <v>8.0207562799999987</v>
      </c>
      <c r="H14" s="1131"/>
      <c r="I14" s="1131"/>
      <c r="J14" s="1131"/>
      <c r="K14" s="1131"/>
      <c r="L14" s="1131"/>
      <c r="M14" s="1131"/>
      <c r="N14" s="1131"/>
      <c r="O14" s="1131"/>
      <c r="P14" s="1131"/>
    </row>
    <row r="15" spans="1:16" s="1137" customFormat="1" ht="18" customHeight="1">
      <c r="A15" s="879" t="s">
        <v>88</v>
      </c>
      <c r="B15" s="1306">
        <v>3.5070000000000001</v>
      </c>
      <c r="C15" s="1306">
        <v>2.9099999999999997</v>
      </c>
      <c r="D15" s="1307">
        <v>3.05</v>
      </c>
      <c r="E15" s="1307">
        <v>3.0430000000000001</v>
      </c>
      <c r="F15" s="1308">
        <v>3.4155725600000002</v>
      </c>
      <c r="H15" s="1131"/>
      <c r="I15" s="1131"/>
      <c r="J15" s="1131"/>
      <c r="K15" s="1131"/>
      <c r="L15" s="1131"/>
      <c r="M15" s="1131"/>
      <c r="N15" s="1131"/>
      <c r="O15" s="1131"/>
      <c r="P15" s="1131"/>
    </row>
    <row r="16" spans="1:16" s="1137" customFormat="1" ht="18" customHeight="1">
      <c r="A16" s="879" t="s">
        <v>99</v>
      </c>
      <c r="B16" s="1306">
        <v>0.83</v>
      </c>
      <c r="C16" s="1306">
        <v>1.9810000000000001</v>
      </c>
      <c r="D16" s="1307">
        <v>1.208</v>
      </c>
      <c r="E16" s="1307">
        <v>1.0980000000000001</v>
      </c>
      <c r="F16" s="1308">
        <v>1.06000783</v>
      </c>
      <c r="H16" s="1131"/>
      <c r="I16" s="1131"/>
      <c r="J16" s="1131"/>
      <c r="K16" s="1131"/>
      <c r="L16" s="1131"/>
      <c r="M16" s="1131"/>
      <c r="N16" s="1131"/>
      <c r="O16" s="1131"/>
      <c r="P16" s="1131"/>
    </row>
    <row r="17" spans="1:16" s="1137" customFormat="1" ht="18" customHeight="1">
      <c r="A17" s="1241" t="s">
        <v>131</v>
      </c>
      <c r="B17" s="1306">
        <v>2.1000000000000001E-2</v>
      </c>
      <c r="C17" s="1306">
        <v>8.1000000000000003E-2</v>
      </c>
      <c r="D17" s="1307">
        <v>0.125</v>
      </c>
      <c r="E17" s="1307">
        <v>4.7E-2</v>
      </c>
      <c r="F17" s="1308">
        <v>7.6501754000000005E-2</v>
      </c>
      <c r="H17" s="1131"/>
      <c r="I17" s="1131"/>
      <c r="J17" s="1131"/>
      <c r="K17" s="1131"/>
      <c r="L17" s="1131"/>
      <c r="M17" s="1131"/>
      <c r="N17" s="1131"/>
      <c r="O17" s="1131"/>
      <c r="P17" s="1131"/>
    </row>
    <row r="18" spans="1:16" s="1137" customFormat="1" ht="18" customHeight="1">
      <c r="A18" s="1241" t="s">
        <v>252</v>
      </c>
      <c r="B18" s="1306">
        <v>0.97099999999999997</v>
      </c>
      <c r="C18" s="1306">
        <v>1</v>
      </c>
      <c r="D18" s="1307">
        <v>1</v>
      </c>
      <c r="E18" s="1307">
        <v>0.96499999999999997</v>
      </c>
      <c r="F18" s="1308">
        <v>0.79432999999999998</v>
      </c>
      <c r="H18" s="1131"/>
      <c r="I18" s="1131"/>
      <c r="J18" s="1131"/>
      <c r="K18" s="1131"/>
      <c r="L18" s="1131"/>
      <c r="M18" s="1131"/>
      <c r="N18" s="1131"/>
      <c r="O18" s="1131"/>
      <c r="P18" s="1131"/>
    </row>
    <row r="19" spans="1:16" s="1137" customFormat="1" ht="18" customHeight="1">
      <c r="A19" s="879" t="s">
        <v>253</v>
      </c>
      <c r="B19" s="1306">
        <v>6.0179999999999998</v>
      </c>
      <c r="C19" s="1306">
        <v>6.0670000000000002</v>
      </c>
      <c r="D19" s="1307">
        <v>5.9779999999999998</v>
      </c>
      <c r="E19" s="1307">
        <v>5.8520000000000003</v>
      </c>
      <c r="F19" s="1308">
        <v>5.9207709999999993</v>
      </c>
      <c r="H19" s="1131"/>
      <c r="I19" s="1131"/>
      <c r="J19" s="1131"/>
      <c r="K19" s="1131"/>
      <c r="L19" s="1131"/>
      <c r="M19" s="1131"/>
      <c r="N19" s="1131"/>
      <c r="O19" s="1131"/>
      <c r="P19" s="1131"/>
    </row>
    <row r="20" spans="1:16" s="1137" customFormat="1" ht="18" customHeight="1">
      <c r="A20" s="1135" t="s">
        <v>394</v>
      </c>
      <c r="B20" s="1309">
        <v>1.2809999999999999</v>
      </c>
      <c r="C20" s="1309">
        <v>1.7849999999999999</v>
      </c>
      <c r="D20" s="1310">
        <v>1.5580000000000001</v>
      </c>
      <c r="E20" s="1310">
        <v>1.865</v>
      </c>
      <c r="F20" s="1311">
        <v>1.78582</v>
      </c>
      <c r="H20" s="1131"/>
      <c r="I20" s="1131"/>
      <c r="J20" s="1131"/>
      <c r="K20" s="1131"/>
      <c r="L20" s="1131"/>
      <c r="M20" s="1131"/>
      <c r="N20" s="1131"/>
      <c r="O20" s="1131"/>
      <c r="P20" s="1131"/>
    </row>
    <row r="21" spans="1:16" ht="13.5" thickBot="1">
      <c r="A21" s="1114" t="s">
        <v>141</v>
      </c>
      <c r="B21" s="1140">
        <v>37.895000000000003</v>
      </c>
      <c r="C21" s="1140">
        <v>47.491999999999997</v>
      </c>
      <c r="D21" s="1140">
        <v>44.028999999999996</v>
      </c>
      <c r="E21" s="1140">
        <v>42.920999999999999</v>
      </c>
      <c r="F21" s="1286">
        <v>45.133498154000002</v>
      </c>
    </row>
    <row r="22" spans="1:16" ht="13.5" thickTop="1"/>
  </sheetData>
  <mergeCells count="4">
    <mergeCell ref="A10:F10"/>
    <mergeCell ref="A2:F2"/>
    <mergeCell ref="A1:F1"/>
    <mergeCell ref="A9:F9"/>
  </mergeCells>
  <phoneticPr fontId="38" type="noConversion"/>
  <printOptions horizontalCentered="1"/>
  <pageMargins left="0.70866141732283472" right="0.70866141732283472" top="0.59055118110236227" bottom="0.550000000000000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00B050"/>
  </sheetPr>
  <dimension ref="A1:U59"/>
  <sheetViews>
    <sheetView zoomScale="110" zoomScaleNormal="110" zoomScaleSheetLayoutView="100" workbookViewId="0">
      <pane xSplit="1" ySplit="5" topLeftCell="B6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S48" sqref="S48"/>
    </sheetView>
  </sheetViews>
  <sheetFormatPr defaultColWidth="9.140625" defaultRowHeight="12.75"/>
  <cols>
    <col min="1" max="1" width="13.42578125" style="893" customWidth="1"/>
    <col min="2" max="10" width="9" style="893" customWidth="1"/>
    <col min="11" max="11" width="5.5703125" style="893" hidden="1" customWidth="1"/>
    <col min="12" max="13" width="7.42578125" style="893" hidden="1" customWidth="1"/>
    <col min="14" max="14" width="8.42578125" style="893" customWidth="1"/>
    <col min="15" max="16384" width="9.140625" style="893"/>
  </cols>
  <sheetData>
    <row r="1" spans="1:14" ht="21.75" customHeight="1">
      <c r="A1" s="1679" t="s">
        <v>545</v>
      </c>
      <c r="B1" s="1680"/>
      <c r="C1" s="1680"/>
      <c r="D1" s="1680"/>
      <c r="E1" s="1680"/>
      <c r="F1" s="1680"/>
      <c r="G1" s="1680"/>
      <c r="H1" s="1680"/>
      <c r="I1" s="1680"/>
      <c r="J1" s="1680"/>
      <c r="K1" s="1680"/>
      <c r="L1" s="1680"/>
      <c r="M1" s="1680"/>
      <c r="N1" s="1681"/>
    </row>
    <row r="2" spans="1:14" s="870" customFormat="1" ht="17.45" customHeight="1" thickBot="1">
      <c r="A2" s="1701" t="s">
        <v>417</v>
      </c>
      <c r="B2" s="1702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3"/>
    </row>
    <row r="3" spans="1:14" s="159" customFormat="1" ht="18" customHeight="1" thickTop="1">
      <c r="A3" s="1697" t="s">
        <v>52</v>
      </c>
      <c r="B3" s="1698" t="s">
        <v>347</v>
      </c>
      <c r="C3" s="1699"/>
      <c r="D3" s="1699"/>
      <c r="E3" s="1699"/>
      <c r="F3" s="1699"/>
      <c r="G3" s="1699"/>
      <c r="H3" s="1699"/>
      <c r="I3" s="1699"/>
      <c r="J3" s="1699"/>
      <c r="K3" s="1699"/>
      <c r="L3" s="1699"/>
      <c r="M3" s="1699"/>
      <c r="N3" s="1700"/>
    </row>
    <row r="4" spans="1:14" s="159" customFormat="1" ht="25.5">
      <c r="A4" s="1683"/>
      <c r="B4" s="1186" t="s">
        <v>56</v>
      </c>
      <c r="C4" s="1187" t="s">
        <v>57</v>
      </c>
      <c r="D4" s="1187" t="s">
        <v>58</v>
      </c>
      <c r="E4" s="1187" t="s">
        <v>59</v>
      </c>
      <c r="F4" s="1187" t="s">
        <v>60</v>
      </c>
      <c r="G4" s="1187" t="s">
        <v>61</v>
      </c>
      <c r="H4" s="1187" t="s">
        <v>62</v>
      </c>
      <c r="I4" s="1187" t="s">
        <v>338</v>
      </c>
      <c r="J4" s="1187" t="s">
        <v>337</v>
      </c>
      <c r="K4" s="1187" t="s">
        <v>123</v>
      </c>
      <c r="L4" s="1187" t="s">
        <v>63</v>
      </c>
      <c r="M4" s="1188" t="s">
        <v>64</v>
      </c>
      <c r="N4" s="1189" t="s">
        <v>146</v>
      </c>
    </row>
    <row r="5" spans="1:14" s="159" customFormat="1" ht="13.9" customHeight="1">
      <c r="A5" s="1004" t="s">
        <v>162</v>
      </c>
      <c r="B5" s="1005" t="s">
        <v>163</v>
      </c>
      <c r="C5" s="1005" t="s">
        <v>164</v>
      </c>
      <c r="D5" s="1005" t="s">
        <v>165</v>
      </c>
      <c r="E5" s="1005" t="s">
        <v>166</v>
      </c>
      <c r="F5" s="1005" t="s">
        <v>167</v>
      </c>
      <c r="G5" s="1005" t="s">
        <v>168</v>
      </c>
      <c r="H5" s="1005" t="s">
        <v>169</v>
      </c>
      <c r="I5" s="1005" t="s">
        <v>170</v>
      </c>
      <c r="J5" s="1005" t="s">
        <v>171</v>
      </c>
      <c r="K5" s="1005" t="s">
        <v>171</v>
      </c>
      <c r="L5" s="1005" t="s">
        <v>172</v>
      </c>
      <c r="M5" s="1085" t="s">
        <v>171</v>
      </c>
      <c r="N5" s="1085" t="s">
        <v>172</v>
      </c>
    </row>
    <row r="6" spans="1:14" s="159" customFormat="1" ht="13.9" customHeight="1">
      <c r="A6" s="972" t="s">
        <v>37</v>
      </c>
      <c r="B6" s="973"/>
      <c r="C6" s="974"/>
      <c r="D6" s="974"/>
      <c r="E6" s="974"/>
      <c r="F6" s="974"/>
      <c r="G6" s="978">
        <v>1.7071296E-2</v>
      </c>
      <c r="H6" s="974"/>
      <c r="I6" s="974"/>
      <c r="J6" s="974"/>
      <c r="K6" s="974"/>
      <c r="L6" s="978">
        <f>+N6-M6</f>
        <v>2.1612960000000001E-3</v>
      </c>
      <c r="M6" s="978">
        <v>1.491E-2</v>
      </c>
      <c r="N6" s="975">
        <f t="shared" ref="N6:N13" si="0">SUM(B6:J6)</f>
        <v>1.7071296E-2</v>
      </c>
    </row>
    <row r="7" spans="1:14" s="159" customFormat="1" ht="13.9" customHeight="1">
      <c r="A7" s="976" t="s">
        <v>38</v>
      </c>
      <c r="B7" s="977"/>
      <c r="C7" s="978"/>
      <c r="D7" s="978"/>
      <c r="E7" s="978">
        <v>0.39960200000000001</v>
      </c>
      <c r="F7" s="978">
        <v>3.4360600000000008</v>
      </c>
      <c r="G7" s="978">
        <v>1.2825500000000001</v>
      </c>
      <c r="H7" s="978">
        <v>18.232516602</v>
      </c>
      <c r="I7" s="978">
        <v>15.537426999999999</v>
      </c>
      <c r="J7" s="978"/>
      <c r="K7" s="978"/>
      <c r="L7" s="978">
        <v>30.555499999999999</v>
      </c>
      <c r="M7" s="979">
        <f>+N7-L7</f>
        <v>8.3326556020000062</v>
      </c>
      <c r="N7" s="980">
        <f t="shared" si="0"/>
        <v>38.888155602000005</v>
      </c>
    </row>
    <row r="8" spans="1:14" s="159" customFormat="1" ht="13.9" customHeight="1">
      <c r="A8" s="976" t="s">
        <v>39</v>
      </c>
      <c r="B8" s="977"/>
      <c r="C8" s="978">
        <v>0.15332499999999999</v>
      </c>
      <c r="D8" s="978"/>
      <c r="E8" s="978">
        <v>1.19995333</v>
      </c>
      <c r="F8" s="978">
        <v>0.81336571000000002</v>
      </c>
      <c r="G8" s="978">
        <v>3.5436375949999999</v>
      </c>
      <c r="H8" s="978">
        <v>11.080861420000002</v>
      </c>
      <c r="I8" s="978">
        <v>3.6373840500000001</v>
      </c>
      <c r="J8" s="978">
        <v>0.11069686999999999</v>
      </c>
      <c r="K8" s="978"/>
      <c r="L8" s="978">
        <v>1.212</v>
      </c>
      <c r="M8" s="978">
        <v>17.114999999999998</v>
      </c>
      <c r="N8" s="980">
        <f t="shared" si="0"/>
        <v>20.539223975000002</v>
      </c>
    </row>
    <row r="9" spans="1:14" s="159" customFormat="1" ht="13.9" customHeight="1">
      <c r="A9" s="976" t="s">
        <v>40</v>
      </c>
      <c r="B9" s="977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9"/>
      <c r="N9" s="980">
        <f t="shared" si="0"/>
        <v>0</v>
      </c>
    </row>
    <row r="10" spans="1:14" s="159" customFormat="1" ht="13.9" customHeight="1">
      <c r="A10" s="976" t="s">
        <v>41</v>
      </c>
      <c r="B10" s="977"/>
      <c r="C10" s="978"/>
      <c r="D10" s="978"/>
      <c r="E10" s="978"/>
      <c r="F10" s="978"/>
      <c r="G10" s="978"/>
      <c r="H10" s="978"/>
      <c r="I10" s="978"/>
      <c r="J10" s="978"/>
      <c r="K10" s="978"/>
      <c r="L10" s="978">
        <f>+N10-M10</f>
        <v>-0.156</v>
      </c>
      <c r="M10" s="978">
        <v>0.156</v>
      </c>
      <c r="N10" s="980">
        <f t="shared" si="0"/>
        <v>0</v>
      </c>
    </row>
    <row r="11" spans="1:14" s="159" customFormat="1" ht="13.9" customHeight="1">
      <c r="A11" s="976" t="s">
        <v>42</v>
      </c>
      <c r="B11" s="977"/>
      <c r="C11" s="978"/>
      <c r="D11" s="978">
        <v>0.22267000000000001</v>
      </c>
      <c r="E11" s="978"/>
      <c r="F11" s="978"/>
      <c r="G11" s="978"/>
      <c r="H11" s="978"/>
      <c r="I11" s="978"/>
      <c r="J11" s="978"/>
      <c r="K11" s="978"/>
      <c r="L11" s="978">
        <f>+N11-M11</f>
        <v>-2.1329999999999988E-2</v>
      </c>
      <c r="M11" s="978">
        <v>0.24399999999999999</v>
      </c>
      <c r="N11" s="980">
        <f t="shared" si="0"/>
        <v>0.22267000000000001</v>
      </c>
    </row>
    <row r="12" spans="1:14" s="159" customFormat="1" ht="13.9" customHeight="1">
      <c r="A12" s="976" t="s">
        <v>43</v>
      </c>
      <c r="B12" s="977"/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9"/>
      <c r="N12" s="980">
        <f t="shared" si="0"/>
        <v>0</v>
      </c>
    </row>
    <row r="13" spans="1:14" s="159" customFormat="1" ht="13.9" customHeight="1">
      <c r="A13" s="982" t="s">
        <v>44</v>
      </c>
      <c r="B13" s="983"/>
      <c r="C13" s="603"/>
      <c r="D13" s="603"/>
      <c r="E13" s="603"/>
      <c r="F13" s="603"/>
      <c r="G13" s="603"/>
      <c r="H13" s="603"/>
      <c r="I13" s="603"/>
      <c r="J13" s="603"/>
      <c r="K13" s="603"/>
      <c r="L13" s="603"/>
      <c r="M13" s="984"/>
      <c r="N13" s="985">
        <f t="shared" si="0"/>
        <v>0</v>
      </c>
    </row>
    <row r="14" spans="1:14" s="159" customFormat="1" ht="13.9" customHeight="1">
      <c r="A14" s="1322" t="s">
        <v>50</v>
      </c>
      <c r="B14" s="1323">
        <f t="shared" ref="B14:N14" si="1">SUM(B6:B13)</f>
        <v>0</v>
      </c>
      <c r="C14" s="1323">
        <f t="shared" si="1"/>
        <v>0.15332499999999999</v>
      </c>
      <c r="D14" s="1323">
        <f t="shared" si="1"/>
        <v>0.22267000000000001</v>
      </c>
      <c r="E14" s="1323">
        <f t="shared" si="1"/>
        <v>1.5995553300000001</v>
      </c>
      <c r="F14" s="1323">
        <f t="shared" si="1"/>
        <v>4.2494257100000006</v>
      </c>
      <c r="G14" s="1323">
        <f t="shared" si="1"/>
        <v>4.8432588909999996</v>
      </c>
      <c r="H14" s="1323">
        <f t="shared" si="1"/>
        <v>29.313378022000002</v>
      </c>
      <c r="I14" s="1323">
        <f t="shared" si="1"/>
        <v>19.174811049999999</v>
      </c>
      <c r="J14" s="1317">
        <f t="shared" si="1"/>
        <v>0.11069686999999999</v>
      </c>
      <c r="K14" s="1323">
        <f t="shared" si="1"/>
        <v>0</v>
      </c>
      <c r="L14" s="1323">
        <f t="shared" si="1"/>
        <v>31.592331296000001</v>
      </c>
      <c r="M14" s="1323">
        <f t="shared" si="1"/>
        <v>25.862565602000004</v>
      </c>
      <c r="N14" s="1318">
        <f t="shared" si="1"/>
        <v>59.667120873000009</v>
      </c>
    </row>
    <row r="15" spans="1:14" s="159" customFormat="1" ht="13.9" customHeight="1">
      <c r="A15" s="976" t="s">
        <v>45</v>
      </c>
      <c r="B15" s="977"/>
      <c r="C15" s="978"/>
      <c r="D15" s="978"/>
      <c r="E15" s="978"/>
      <c r="F15" s="978"/>
      <c r="G15" s="978"/>
      <c r="H15" s="978"/>
      <c r="I15" s="978"/>
      <c r="J15" s="978"/>
      <c r="K15" s="978"/>
      <c r="L15" s="978"/>
      <c r="M15" s="979"/>
      <c r="N15" s="980">
        <f t="shared" ref="N15:N33" si="2">SUM(B15:J15)</f>
        <v>0</v>
      </c>
    </row>
    <row r="16" spans="1:14" s="159" customFormat="1" ht="13.9" customHeight="1">
      <c r="A16" s="976" t="s">
        <v>51</v>
      </c>
      <c r="B16" s="977"/>
      <c r="C16" s="978"/>
      <c r="D16" s="978"/>
      <c r="E16" s="978"/>
      <c r="F16" s="978"/>
      <c r="G16" s="978"/>
      <c r="H16" s="978"/>
      <c r="I16" s="978"/>
      <c r="J16" s="978"/>
      <c r="K16" s="978"/>
      <c r="L16" s="978"/>
      <c r="M16" s="979"/>
      <c r="N16" s="980">
        <f t="shared" si="2"/>
        <v>0</v>
      </c>
    </row>
    <row r="17" spans="1:14" s="159" customFormat="1" ht="13.9" customHeight="1">
      <c r="A17" s="976" t="s">
        <v>46</v>
      </c>
      <c r="B17" s="977"/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9"/>
      <c r="N17" s="980">
        <f t="shared" si="2"/>
        <v>0</v>
      </c>
    </row>
    <row r="18" spans="1:14" s="1329" customFormat="1" ht="13.9" customHeight="1">
      <c r="A18" s="1324" t="s">
        <v>47</v>
      </c>
      <c r="B18" s="1325"/>
      <c r="C18" s="1326"/>
      <c r="D18" s="1326"/>
      <c r="E18" s="1326"/>
      <c r="F18" s="1326">
        <v>4.1240000000000001E-3</v>
      </c>
      <c r="G18" s="1326"/>
      <c r="H18" s="1326">
        <v>8.5550699999999993E-2</v>
      </c>
      <c r="I18" s="1326"/>
      <c r="J18" s="1326"/>
      <c r="K18" s="1326"/>
      <c r="L18" s="1326">
        <v>8.0012E-2</v>
      </c>
      <c r="M18" s="1327">
        <f>+N18-L18</f>
        <v>9.6626999999999963E-3</v>
      </c>
      <c r="N18" s="1328">
        <f t="shared" si="2"/>
        <v>8.9674699999999996E-2</v>
      </c>
    </row>
    <row r="19" spans="1:14" s="159" customFormat="1" ht="13.9" customHeight="1">
      <c r="A19" s="981" t="s">
        <v>54</v>
      </c>
      <c r="B19" s="977"/>
      <c r="C19" s="978"/>
      <c r="D19" s="978"/>
      <c r="E19" s="978"/>
      <c r="F19" s="978"/>
      <c r="G19" s="978"/>
      <c r="H19" s="978"/>
      <c r="I19" s="978">
        <v>0.49753358000000003</v>
      </c>
      <c r="J19" s="978"/>
      <c r="K19" s="978"/>
      <c r="L19" s="978">
        <v>0.34022000000000002</v>
      </c>
      <c r="M19" s="979">
        <f>+N19-L19</f>
        <v>0.15731358000000001</v>
      </c>
      <c r="N19" s="980">
        <f t="shared" si="2"/>
        <v>0.49753358000000003</v>
      </c>
    </row>
    <row r="20" spans="1:14" s="159" customFormat="1" ht="13.9" customHeight="1">
      <c r="A20" s="976" t="s">
        <v>94</v>
      </c>
      <c r="B20" s="977"/>
      <c r="C20" s="978"/>
      <c r="D20" s="978"/>
      <c r="E20" s="978"/>
      <c r="F20" s="978"/>
      <c r="G20" s="978"/>
      <c r="H20" s="978"/>
      <c r="I20" s="978"/>
      <c r="J20" s="978"/>
      <c r="K20" s="978"/>
      <c r="L20" s="978"/>
      <c r="M20" s="979"/>
      <c r="N20" s="980">
        <f t="shared" si="2"/>
        <v>0</v>
      </c>
    </row>
    <row r="21" spans="1:14" s="159" customFormat="1" ht="13.9" customHeight="1">
      <c r="A21" s="976" t="s">
        <v>263</v>
      </c>
      <c r="B21" s="977"/>
      <c r="C21" s="978"/>
      <c r="D21" s="978"/>
      <c r="E21" s="978"/>
      <c r="F21" s="978"/>
      <c r="G21" s="978"/>
      <c r="H21" s="978"/>
      <c r="I21" s="978"/>
      <c r="J21" s="978"/>
      <c r="K21" s="978"/>
      <c r="L21" s="978"/>
      <c r="M21" s="979"/>
      <c r="N21" s="980">
        <f t="shared" si="2"/>
        <v>0</v>
      </c>
    </row>
    <row r="22" spans="1:14" s="159" customFormat="1" ht="13.9" customHeight="1">
      <c r="A22" s="976" t="s">
        <v>304</v>
      </c>
      <c r="B22" s="977"/>
      <c r="C22" s="978"/>
      <c r="D22" s="978"/>
      <c r="E22" s="978"/>
      <c r="F22" s="978"/>
      <c r="G22" s="978"/>
      <c r="H22" s="978"/>
      <c r="I22" s="978"/>
      <c r="J22" s="978"/>
      <c r="K22" s="978"/>
      <c r="L22" s="978"/>
      <c r="M22" s="979"/>
      <c r="N22" s="980">
        <f t="shared" si="2"/>
        <v>0</v>
      </c>
    </row>
    <row r="23" spans="1:14" s="159" customFormat="1" ht="13.9" customHeight="1">
      <c r="A23" s="976" t="s">
        <v>220</v>
      </c>
      <c r="B23" s="977"/>
      <c r="C23" s="978"/>
      <c r="D23" s="978"/>
      <c r="E23" s="978"/>
      <c r="F23" s="978"/>
      <c r="G23" s="978"/>
      <c r="H23" s="978"/>
      <c r="I23" s="978"/>
      <c r="J23" s="978"/>
      <c r="K23" s="978"/>
      <c r="L23" s="978"/>
      <c r="M23" s="979"/>
      <c r="N23" s="980">
        <f t="shared" si="2"/>
        <v>0</v>
      </c>
    </row>
    <row r="24" spans="1:14" s="159" customFormat="1" ht="13.9" customHeight="1">
      <c r="A24" s="981" t="s">
        <v>335</v>
      </c>
      <c r="B24" s="977"/>
      <c r="C24" s="978"/>
      <c r="D24" s="978"/>
      <c r="E24" s="978"/>
      <c r="F24" s="978"/>
      <c r="G24" s="978"/>
      <c r="H24" s="978"/>
      <c r="I24" s="978"/>
      <c r="J24" s="978"/>
      <c r="K24" s="978"/>
      <c r="L24" s="978"/>
      <c r="M24" s="979"/>
      <c r="N24" s="980">
        <f t="shared" si="2"/>
        <v>0</v>
      </c>
    </row>
    <row r="25" spans="1:14" s="159" customFormat="1" ht="13.9" customHeight="1">
      <c r="A25" s="976" t="s">
        <v>518</v>
      </c>
      <c r="B25" s="977"/>
      <c r="C25" s="978"/>
      <c r="D25" s="978"/>
      <c r="E25" s="978"/>
      <c r="F25" s="978"/>
      <c r="G25" s="978"/>
      <c r="H25" s="978"/>
      <c r="I25" s="978"/>
      <c r="J25" s="978"/>
      <c r="K25" s="978"/>
      <c r="L25" s="978"/>
      <c r="M25" s="979"/>
      <c r="N25" s="980">
        <f t="shared" si="2"/>
        <v>0</v>
      </c>
    </row>
    <row r="26" spans="1:14" s="159" customFormat="1" ht="13.9" customHeight="1">
      <c r="A26" s="976" t="s">
        <v>333</v>
      </c>
      <c r="B26" s="977"/>
      <c r="C26" s="978"/>
      <c r="D26" s="978"/>
      <c r="E26" s="978"/>
      <c r="F26" s="978"/>
      <c r="G26" s="978"/>
      <c r="H26" s="978"/>
      <c r="I26" s="978"/>
      <c r="J26" s="978"/>
      <c r="K26" s="978"/>
      <c r="L26" s="978"/>
      <c r="M26" s="979"/>
      <c r="N26" s="980">
        <f t="shared" si="2"/>
        <v>0</v>
      </c>
    </row>
    <row r="27" spans="1:14" s="159" customFormat="1" ht="13.9" customHeight="1">
      <c r="A27" s="976" t="s">
        <v>392</v>
      </c>
      <c r="B27" s="977"/>
      <c r="C27" s="978"/>
      <c r="D27" s="978"/>
      <c r="E27" s="978"/>
      <c r="F27" s="978"/>
      <c r="G27" s="978"/>
      <c r="H27" s="978"/>
      <c r="I27" s="978"/>
      <c r="J27" s="978"/>
      <c r="K27" s="978"/>
      <c r="L27" s="978"/>
      <c r="M27" s="979"/>
      <c r="N27" s="980">
        <f t="shared" si="2"/>
        <v>0</v>
      </c>
    </row>
    <row r="28" spans="1:14" s="159" customFormat="1" ht="13.9" customHeight="1">
      <c r="A28" s="976" t="s">
        <v>393</v>
      </c>
      <c r="B28" s="977"/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9"/>
      <c r="N28" s="980">
        <f t="shared" si="2"/>
        <v>0</v>
      </c>
    </row>
    <row r="29" spans="1:14" s="159" customFormat="1" ht="13.9" customHeight="1">
      <c r="A29" s="976" t="s">
        <v>421</v>
      </c>
      <c r="B29" s="977"/>
      <c r="C29" s="978"/>
      <c r="D29" s="978"/>
      <c r="E29" s="978"/>
      <c r="F29" s="978"/>
      <c r="G29" s="978"/>
      <c r="H29" s="978"/>
      <c r="I29" s="978"/>
      <c r="J29" s="978"/>
      <c r="K29" s="978"/>
      <c r="L29" s="978"/>
      <c r="M29" s="979"/>
      <c r="N29" s="980">
        <f t="shared" si="2"/>
        <v>0</v>
      </c>
    </row>
    <row r="30" spans="1:14" s="159" customFormat="1" ht="13.9" customHeight="1">
      <c r="A30" s="976" t="s">
        <v>419</v>
      </c>
      <c r="B30" s="977"/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9"/>
      <c r="N30" s="980">
        <f t="shared" si="2"/>
        <v>0</v>
      </c>
    </row>
    <row r="31" spans="1:14" s="159" customFormat="1" ht="13.9" customHeight="1">
      <c r="A31" s="1315" t="s">
        <v>467</v>
      </c>
      <c r="B31" s="977"/>
      <c r="C31" s="978"/>
      <c r="D31" s="978"/>
      <c r="E31" s="978"/>
      <c r="F31" s="978"/>
      <c r="G31" s="978"/>
      <c r="H31" s="978"/>
      <c r="I31" s="978"/>
      <c r="J31" s="978"/>
      <c r="K31" s="158"/>
      <c r="L31" s="158"/>
      <c r="M31" s="158"/>
      <c r="N31" s="980">
        <f>SUM(B31:J31)</f>
        <v>0</v>
      </c>
    </row>
    <row r="32" spans="1:14">
      <c r="A32" s="1330" t="s">
        <v>465</v>
      </c>
      <c r="B32" s="977"/>
      <c r="C32" s="978"/>
      <c r="D32" s="978"/>
      <c r="E32" s="978"/>
      <c r="F32" s="978"/>
      <c r="G32" s="978"/>
      <c r="H32" s="978"/>
      <c r="I32" s="978"/>
      <c r="J32" s="978"/>
      <c r="N32" s="980">
        <f>SUM(B32:J32)</f>
        <v>0</v>
      </c>
    </row>
    <row r="33" spans="1:14">
      <c r="A33" s="1330" t="s">
        <v>523</v>
      </c>
      <c r="B33" s="977"/>
      <c r="C33" s="978"/>
      <c r="D33" s="978"/>
      <c r="E33" s="978"/>
      <c r="F33" s="978"/>
      <c r="G33" s="978"/>
      <c r="H33" s="978"/>
      <c r="I33" s="978"/>
      <c r="J33" s="978"/>
      <c r="N33" s="980">
        <f t="shared" si="2"/>
        <v>0</v>
      </c>
    </row>
    <row r="34" spans="1:14" s="159" customFormat="1" ht="13.9" customHeight="1">
      <c r="A34" s="1331" t="s">
        <v>136</v>
      </c>
      <c r="B34" s="1323">
        <f t="shared" ref="B34:J34" si="3">SUM(B14:B33)</f>
        <v>0</v>
      </c>
      <c r="C34" s="1323">
        <f t="shared" si="3"/>
        <v>0.15332499999999999</v>
      </c>
      <c r="D34" s="1323">
        <f t="shared" si="3"/>
        <v>0.22267000000000001</v>
      </c>
      <c r="E34" s="1323">
        <f t="shared" si="3"/>
        <v>1.5995553300000001</v>
      </c>
      <c r="F34" s="1323">
        <f t="shared" si="3"/>
        <v>4.2535497100000006</v>
      </c>
      <c r="G34" s="1323">
        <f t="shared" si="3"/>
        <v>4.8432588909999996</v>
      </c>
      <c r="H34" s="1323">
        <f t="shared" si="3"/>
        <v>29.398928722000001</v>
      </c>
      <c r="I34" s="1323">
        <f t="shared" si="3"/>
        <v>19.672344629999998</v>
      </c>
      <c r="J34" s="1323">
        <f t="shared" si="3"/>
        <v>0.11069686999999999</v>
      </c>
      <c r="K34" s="1317">
        <f>SUM(K14:K30)</f>
        <v>0</v>
      </c>
      <c r="L34" s="1317">
        <f>SUM(L14:L30)</f>
        <v>32.012563296000003</v>
      </c>
      <c r="M34" s="1332">
        <f>SUM(M14:M30)</f>
        <v>26.029541882000004</v>
      </c>
      <c r="N34" s="1318">
        <f>SUM(N14:N33)</f>
        <v>60.254329153000015</v>
      </c>
    </row>
    <row r="35" spans="1:14" s="159" customFormat="1" ht="12.75" customHeight="1">
      <c r="A35" s="976" t="s">
        <v>215</v>
      </c>
      <c r="B35" s="977"/>
      <c r="C35" s="978"/>
      <c r="D35" s="978"/>
      <c r="E35" s="978"/>
      <c r="F35" s="978">
        <v>0.82827064999999989</v>
      </c>
      <c r="G35" s="978">
        <v>0.33771272000000019</v>
      </c>
      <c r="H35" s="978">
        <v>4.9131455100000005</v>
      </c>
      <c r="I35" s="978">
        <v>0.13613893999999999</v>
      </c>
      <c r="J35" s="978"/>
      <c r="K35" s="978"/>
      <c r="L35" s="978">
        <v>4.6858370000000003</v>
      </c>
      <c r="M35" s="979">
        <f>+N35-L35</f>
        <v>1.5294308200000009</v>
      </c>
      <c r="N35" s="980">
        <f t="shared" ref="N35:N54" si="4">SUM(B35:J35)</f>
        <v>6.2152678200000011</v>
      </c>
    </row>
    <row r="36" spans="1:14" s="159" customFormat="1" ht="12.75" customHeight="1">
      <c r="A36" s="976" t="s">
        <v>298</v>
      </c>
      <c r="B36" s="977"/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9"/>
      <c r="N36" s="980">
        <f t="shared" si="4"/>
        <v>0</v>
      </c>
    </row>
    <row r="37" spans="1:14" s="159" customFormat="1" ht="12.75" customHeight="1">
      <c r="A37" s="976" t="s">
        <v>122</v>
      </c>
      <c r="B37" s="977"/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9"/>
      <c r="N37" s="980">
        <f t="shared" si="4"/>
        <v>0</v>
      </c>
    </row>
    <row r="38" spans="1:14" s="159" customFormat="1" ht="12.75" customHeight="1">
      <c r="A38" s="976" t="s">
        <v>247</v>
      </c>
      <c r="B38" s="977"/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9"/>
      <c r="N38" s="980">
        <f t="shared" si="4"/>
        <v>0</v>
      </c>
    </row>
    <row r="39" spans="1:14" s="159" customFormat="1" ht="12.75" customHeight="1">
      <c r="A39" s="976" t="s">
        <v>296</v>
      </c>
      <c r="B39" s="977"/>
      <c r="C39" s="978"/>
      <c r="D39" s="978"/>
      <c r="E39" s="978"/>
      <c r="F39" s="978"/>
      <c r="G39" s="978"/>
      <c r="H39" s="978"/>
      <c r="I39" s="978"/>
      <c r="J39" s="978"/>
      <c r="K39" s="978"/>
      <c r="L39" s="978"/>
      <c r="M39" s="979"/>
      <c r="N39" s="980">
        <f t="shared" si="4"/>
        <v>0</v>
      </c>
    </row>
    <row r="40" spans="1:14" s="159" customFormat="1" ht="12.75" customHeight="1">
      <c r="A40" s="976" t="s">
        <v>142</v>
      </c>
      <c r="B40" s="977"/>
      <c r="C40" s="978"/>
      <c r="D40" s="978"/>
      <c r="E40" s="978"/>
      <c r="F40" s="978"/>
      <c r="G40" s="978"/>
      <c r="H40" s="978"/>
      <c r="I40" s="978"/>
      <c r="J40" s="978"/>
      <c r="K40" s="978"/>
      <c r="L40" s="978"/>
      <c r="M40" s="979"/>
      <c r="N40" s="980">
        <f t="shared" si="4"/>
        <v>0</v>
      </c>
    </row>
    <row r="41" spans="1:14" s="159" customFormat="1" ht="12.75" customHeight="1">
      <c r="A41" s="976" t="s">
        <v>297</v>
      </c>
      <c r="B41" s="977"/>
      <c r="C41" s="978"/>
      <c r="D41" s="978"/>
      <c r="E41" s="978"/>
      <c r="F41" s="978"/>
      <c r="G41" s="978"/>
      <c r="H41" s="978"/>
      <c r="I41" s="978"/>
      <c r="J41" s="978"/>
      <c r="K41" s="978"/>
      <c r="L41" s="978"/>
      <c r="M41" s="979"/>
      <c r="N41" s="980">
        <f t="shared" si="4"/>
        <v>0</v>
      </c>
    </row>
    <row r="42" spans="1:14" s="159" customFormat="1" ht="12.75" customHeight="1">
      <c r="A42" s="976" t="s">
        <v>305</v>
      </c>
      <c r="B42" s="977"/>
      <c r="C42" s="978"/>
      <c r="D42" s="978"/>
      <c r="E42" s="978"/>
      <c r="F42" s="978"/>
      <c r="G42" s="978"/>
      <c r="H42" s="978"/>
      <c r="I42" s="978"/>
      <c r="J42" s="978"/>
      <c r="K42" s="978"/>
      <c r="L42" s="978"/>
      <c r="M42" s="979"/>
      <c r="N42" s="980">
        <f t="shared" si="4"/>
        <v>0</v>
      </c>
    </row>
    <row r="43" spans="1:14" s="159" customFormat="1" ht="12.75" customHeight="1">
      <c r="A43" s="981" t="s">
        <v>227</v>
      </c>
      <c r="B43" s="977"/>
      <c r="C43" s="978"/>
      <c r="D43" s="978"/>
      <c r="E43" s="978"/>
      <c r="F43" s="978"/>
      <c r="G43" s="978"/>
      <c r="H43" s="978"/>
      <c r="I43" s="978"/>
      <c r="J43" s="978"/>
      <c r="K43" s="978"/>
      <c r="L43" s="978"/>
      <c r="M43" s="979"/>
      <c r="N43" s="980">
        <f t="shared" si="4"/>
        <v>0</v>
      </c>
    </row>
    <row r="44" spans="1:14" s="159" customFormat="1" ht="12.75" customHeight="1">
      <c r="A44" s="1315" t="s">
        <v>212</v>
      </c>
      <c r="B44" s="977"/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9"/>
      <c r="N44" s="980">
        <f t="shared" si="4"/>
        <v>0</v>
      </c>
    </row>
    <row r="45" spans="1:14" s="159" customFormat="1" ht="12.75" customHeight="1">
      <c r="A45" s="1315" t="s">
        <v>248</v>
      </c>
      <c r="B45" s="977"/>
      <c r="C45" s="978"/>
      <c r="D45" s="978"/>
      <c r="E45" s="978"/>
      <c r="F45" s="978"/>
      <c r="G45" s="978"/>
      <c r="H45" s="978"/>
      <c r="I45" s="978"/>
      <c r="J45" s="978"/>
      <c r="K45" s="978"/>
      <c r="L45" s="978"/>
      <c r="M45" s="979"/>
      <c r="N45" s="980">
        <f t="shared" si="4"/>
        <v>0</v>
      </c>
    </row>
    <row r="46" spans="1:14" s="159" customFormat="1" ht="12.75" customHeight="1">
      <c r="A46" s="1315" t="s">
        <v>155</v>
      </c>
      <c r="B46" s="977"/>
      <c r="C46" s="978"/>
      <c r="D46" s="978"/>
      <c r="E46" s="978"/>
      <c r="F46" s="978"/>
      <c r="G46" s="978"/>
      <c r="H46" s="978"/>
      <c r="I46" s="978"/>
      <c r="J46" s="978"/>
      <c r="K46" s="978"/>
      <c r="L46" s="978"/>
      <c r="M46" s="979"/>
      <c r="N46" s="980">
        <f t="shared" si="4"/>
        <v>0</v>
      </c>
    </row>
    <row r="47" spans="1:14" s="159" customFormat="1" ht="12.75" customHeight="1">
      <c r="A47" s="1315" t="s">
        <v>420</v>
      </c>
      <c r="B47" s="977"/>
      <c r="C47" s="978"/>
      <c r="D47" s="978"/>
      <c r="E47" s="978"/>
      <c r="F47" s="978"/>
      <c r="G47" s="978"/>
      <c r="H47" s="978"/>
      <c r="I47" s="978"/>
      <c r="J47" s="978"/>
      <c r="K47" s="978"/>
      <c r="L47" s="978"/>
      <c r="M47" s="979"/>
      <c r="N47" s="980">
        <f t="shared" si="4"/>
        <v>0</v>
      </c>
    </row>
    <row r="48" spans="1:14" s="159" customFormat="1" ht="12.75" customHeight="1">
      <c r="A48" s="1315" t="s">
        <v>324</v>
      </c>
      <c r="B48" s="977"/>
      <c r="C48" s="978"/>
      <c r="D48" s="978"/>
      <c r="E48" s="978"/>
      <c r="F48" s="978"/>
      <c r="G48" s="978"/>
      <c r="H48" s="978"/>
      <c r="I48" s="978"/>
      <c r="J48" s="978"/>
      <c r="K48" s="978"/>
      <c r="L48" s="978"/>
      <c r="M48" s="979"/>
      <c r="N48" s="980">
        <f t="shared" si="4"/>
        <v>0</v>
      </c>
    </row>
    <row r="49" spans="1:21" s="159" customFormat="1" ht="12.75" customHeight="1">
      <c r="A49" s="1315" t="s">
        <v>481</v>
      </c>
      <c r="B49" s="977"/>
      <c r="C49" s="978"/>
      <c r="D49" s="978"/>
      <c r="E49" s="978"/>
      <c r="F49" s="978"/>
      <c r="G49" s="978"/>
      <c r="H49" s="978"/>
      <c r="I49" s="978"/>
      <c r="J49" s="978"/>
      <c r="K49" s="158"/>
      <c r="L49" s="158"/>
      <c r="M49" s="158"/>
      <c r="N49" s="980">
        <f t="shared" si="4"/>
        <v>0</v>
      </c>
    </row>
    <row r="50" spans="1:21" s="159" customFormat="1" ht="12.75" customHeight="1">
      <c r="A50" s="1315" t="s">
        <v>475</v>
      </c>
      <c r="B50" s="977"/>
      <c r="C50" s="978"/>
      <c r="D50" s="978"/>
      <c r="E50" s="978"/>
      <c r="F50" s="978"/>
      <c r="G50" s="978"/>
      <c r="H50" s="978"/>
      <c r="I50" s="978"/>
      <c r="J50" s="978"/>
      <c r="K50" s="158"/>
      <c r="L50" s="158"/>
      <c r="M50" s="158"/>
      <c r="N50" s="980">
        <f>SUM(B50:J50)</f>
        <v>0</v>
      </c>
    </row>
    <row r="51" spans="1:21" s="159" customFormat="1" ht="12.75" customHeight="1">
      <c r="A51" s="1315" t="s">
        <v>48</v>
      </c>
      <c r="B51" s="977"/>
      <c r="C51" s="978"/>
      <c r="D51" s="978"/>
      <c r="E51" s="978"/>
      <c r="F51" s="978"/>
      <c r="G51" s="978"/>
      <c r="H51" s="978"/>
      <c r="I51" s="978"/>
      <c r="J51" s="978"/>
      <c r="K51" s="158"/>
      <c r="L51" s="158"/>
      <c r="M51" s="158"/>
      <c r="N51" s="980">
        <f>SUM(B51:J51)</f>
        <v>0</v>
      </c>
    </row>
    <row r="52" spans="1:21" s="159" customFormat="1" ht="12.75" customHeight="1">
      <c r="A52" s="1315" t="s">
        <v>514</v>
      </c>
      <c r="B52" s="977"/>
      <c r="C52" s="978"/>
      <c r="D52" s="978"/>
      <c r="E52" s="978"/>
      <c r="F52" s="978"/>
      <c r="G52" s="978"/>
      <c r="H52" s="978"/>
      <c r="I52" s="978"/>
      <c r="J52" s="978"/>
      <c r="K52" s="158"/>
      <c r="L52" s="158"/>
      <c r="M52" s="158"/>
      <c r="N52" s="980">
        <f t="shared" si="4"/>
        <v>0</v>
      </c>
    </row>
    <row r="53" spans="1:21" s="159" customFormat="1" ht="12.75" customHeight="1">
      <c r="A53" s="1315" t="s">
        <v>540</v>
      </c>
      <c r="B53" s="977"/>
      <c r="C53" s="978"/>
      <c r="D53" s="978"/>
      <c r="E53" s="978"/>
      <c r="F53" s="978"/>
      <c r="G53" s="978"/>
      <c r="H53" s="978"/>
      <c r="I53" s="978"/>
      <c r="J53" s="978"/>
      <c r="K53" s="158"/>
      <c r="L53" s="158"/>
      <c r="M53" s="158"/>
      <c r="N53" s="980">
        <f t="shared" si="4"/>
        <v>0</v>
      </c>
    </row>
    <row r="54" spans="1:21" s="159" customFormat="1" ht="12.75" customHeight="1">
      <c r="A54" s="1315" t="s">
        <v>129</v>
      </c>
      <c r="B54" s="977"/>
      <c r="C54" s="978"/>
      <c r="D54" s="978"/>
      <c r="E54" s="978"/>
      <c r="F54" s="978"/>
      <c r="G54" s="978"/>
      <c r="H54" s="978"/>
      <c r="I54" s="978"/>
      <c r="J54" s="978"/>
      <c r="K54" s="158"/>
      <c r="L54" s="158"/>
      <c r="M54" s="158"/>
      <c r="N54" s="980">
        <f t="shared" si="4"/>
        <v>0</v>
      </c>
    </row>
    <row r="55" spans="1:21" s="159" customFormat="1" ht="13.9" customHeight="1">
      <c r="A55" s="1316" t="s">
        <v>100</v>
      </c>
      <c r="B55" s="1317">
        <f t="shared" ref="B55:J55" si="5">SUM(B35:B54)</f>
        <v>0</v>
      </c>
      <c r="C55" s="1317">
        <f t="shared" si="5"/>
        <v>0</v>
      </c>
      <c r="D55" s="1317">
        <f t="shared" si="5"/>
        <v>0</v>
      </c>
      <c r="E55" s="1317">
        <f t="shared" si="5"/>
        <v>0</v>
      </c>
      <c r="F55" s="1317">
        <f t="shared" si="5"/>
        <v>0.82827064999999989</v>
      </c>
      <c r="G55" s="1317">
        <f t="shared" si="5"/>
        <v>0.33771272000000019</v>
      </c>
      <c r="H55" s="1317">
        <f t="shared" si="5"/>
        <v>4.9131455100000005</v>
      </c>
      <c r="I55" s="1317">
        <f t="shared" si="5"/>
        <v>0.13613893999999999</v>
      </c>
      <c r="J55" s="1317">
        <f t="shared" si="5"/>
        <v>0</v>
      </c>
      <c r="K55" s="1317">
        <f>SUM(K35:K52)</f>
        <v>0</v>
      </c>
      <c r="L55" s="1317">
        <f>SUM(L35:L52)</f>
        <v>4.6858370000000003</v>
      </c>
      <c r="M55" s="1317">
        <f>SUM(M35:M52)</f>
        <v>1.5294308200000009</v>
      </c>
      <c r="N55" s="1318">
        <f>SUM(N35:N54)</f>
        <v>6.2152678200000011</v>
      </c>
    </row>
    <row r="56" spans="1:21" s="159" customFormat="1" ht="13.9" customHeight="1" thickBot="1">
      <c r="A56" s="1319" t="s">
        <v>141</v>
      </c>
      <c r="B56" s="1320">
        <f t="shared" ref="B56:N56" si="6">B55+B34</f>
        <v>0</v>
      </c>
      <c r="C56" s="1320">
        <f t="shared" si="6"/>
        <v>0.15332499999999999</v>
      </c>
      <c r="D56" s="1320">
        <f t="shared" si="6"/>
        <v>0.22267000000000001</v>
      </c>
      <c r="E56" s="1320">
        <f t="shared" si="6"/>
        <v>1.5995553300000001</v>
      </c>
      <c r="F56" s="1320">
        <f t="shared" si="6"/>
        <v>5.08182036</v>
      </c>
      <c r="G56" s="1320">
        <f t="shared" si="6"/>
        <v>5.1809716109999995</v>
      </c>
      <c r="H56" s="1320">
        <f t="shared" si="6"/>
        <v>34.312074232000001</v>
      </c>
      <c r="I56" s="1320">
        <f t="shared" si="6"/>
        <v>19.808483569999996</v>
      </c>
      <c r="J56" s="1320">
        <f t="shared" si="6"/>
        <v>0.11069686999999999</v>
      </c>
      <c r="K56" s="1320">
        <f t="shared" si="6"/>
        <v>0</v>
      </c>
      <c r="L56" s="1320">
        <f t="shared" si="6"/>
        <v>36.698400296000003</v>
      </c>
      <c r="M56" s="1320">
        <f t="shared" si="6"/>
        <v>27.558972702000005</v>
      </c>
      <c r="N56" s="1321">
        <f t="shared" si="6"/>
        <v>66.469596973000023</v>
      </c>
      <c r="P56" s="1333"/>
    </row>
    <row r="57" spans="1:21" ht="13.5" thickTop="1">
      <c r="P57" s="159"/>
      <c r="Q57" s="159"/>
      <c r="R57" s="159"/>
      <c r="S57" s="159"/>
      <c r="T57" s="159"/>
      <c r="U57" s="159"/>
    </row>
    <row r="58" spans="1:21">
      <c r="P58" s="159"/>
      <c r="Q58" s="159"/>
      <c r="R58" s="159"/>
      <c r="S58" s="159"/>
      <c r="T58" s="159"/>
      <c r="U58" s="159"/>
    </row>
    <row r="59" spans="1:21">
      <c r="P59" s="159"/>
      <c r="Q59" s="159"/>
      <c r="R59" s="159"/>
      <c r="S59" s="159"/>
      <c r="T59" s="159"/>
      <c r="U59" s="159"/>
    </row>
  </sheetData>
  <mergeCells count="4">
    <mergeCell ref="A3:A4"/>
    <mergeCell ref="B3:N3"/>
    <mergeCell ref="A1:N1"/>
    <mergeCell ref="A2:N2"/>
  </mergeCells>
  <printOptions horizontalCentered="1"/>
  <pageMargins left="0.39370078740157483" right="0.39370078740157483" top="0.59055118110236227" bottom="0.23622047244094491" header="0.19685039370078741" footer="0.19685039370078741"/>
  <pageSetup paperSize="9" scale="86" firstPageNumber="19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0000FF"/>
  </sheetPr>
  <dimension ref="A1:BN57"/>
  <sheetViews>
    <sheetView workbookViewId="0">
      <pane ySplit="5" topLeftCell="A6" activePane="bottomLeft" state="frozen"/>
      <selection activeCell="N38" sqref="N38"/>
      <selection pane="bottomLeft" activeCell="BS51" sqref="BS51"/>
    </sheetView>
  </sheetViews>
  <sheetFormatPr defaultColWidth="9.140625" defaultRowHeight="12.75"/>
  <cols>
    <col min="1" max="1" width="13" style="304" customWidth="1"/>
    <col min="2" max="2" width="6.85546875" style="385" hidden="1" customWidth="1"/>
    <col min="3" max="3" width="6" style="429" hidden="1" customWidth="1"/>
    <col min="4" max="4" width="6.85546875" style="385" hidden="1" customWidth="1"/>
    <col min="5" max="5" width="6" style="429" hidden="1" customWidth="1"/>
    <col min="6" max="6" width="6.85546875" style="385" hidden="1" customWidth="1"/>
    <col min="7" max="7" width="6" style="429" hidden="1" customWidth="1"/>
    <col min="8" max="8" width="6.85546875" style="385" hidden="1" customWidth="1"/>
    <col min="9" max="9" width="6" style="429" hidden="1" customWidth="1"/>
    <col min="10" max="10" width="6.85546875" style="385" hidden="1" customWidth="1"/>
    <col min="11" max="11" width="6" style="429" hidden="1" customWidth="1"/>
    <col min="12" max="12" width="6.85546875" style="385" hidden="1" customWidth="1"/>
    <col min="13" max="13" width="6" style="429" hidden="1" customWidth="1"/>
    <col min="14" max="14" width="6.85546875" style="385" hidden="1" customWidth="1"/>
    <col min="15" max="15" width="6" style="429" hidden="1" customWidth="1"/>
    <col min="16" max="16" width="6.85546875" style="385" hidden="1" customWidth="1"/>
    <col min="17" max="17" width="6" style="381" hidden="1" customWidth="1"/>
    <col min="18" max="18" width="6.7109375" style="385" hidden="1" customWidth="1"/>
    <col min="19" max="19" width="6" style="429" hidden="1" customWidth="1"/>
    <col min="20" max="20" width="6.7109375" style="385" hidden="1" customWidth="1"/>
    <col min="21" max="21" width="6" style="429" hidden="1" customWidth="1"/>
    <col min="22" max="22" width="7.7109375" style="385" hidden="1" customWidth="1"/>
    <col min="23" max="23" width="7.140625" style="429" hidden="1" customWidth="1"/>
    <col min="24" max="24" width="7.7109375" style="385" hidden="1" customWidth="1"/>
    <col min="25" max="25" width="7.140625" style="429" hidden="1" customWidth="1"/>
    <col min="26" max="26" width="7.7109375" style="385" hidden="1" customWidth="1"/>
    <col min="27" max="27" width="6.140625" style="429" hidden="1" customWidth="1"/>
    <col min="28" max="30" width="8.7109375" style="429" hidden="1" customWidth="1"/>
    <col min="31" max="31" width="8.7109375" style="385" hidden="1" customWidth="1"/>
    <col min="32" max="33" width="8.7109375" style="429" hidden="1" customWidth="1"/>
    <col min="34" max="44" width="8.7109375" style="304" hidden="1" customWidth="1"/>
    <col min="45" max="45" width="8.7109375" style="303" hidden="1" customWidth="1"/>
    <col min="46" max="47" width="8.7109375" style="304" hidden="1" customWidth="1"/>
    <col min="48" max="51" width="8.7109375" style="303" hidden="1" customWidth="1"/>
    <col min="52" max="53" width="8.7109375" style="385" hidden="1" customWidth="1"/>
    <col min="54" max="54" width="8.7109375" style="430" hidden="1" customWidth="1"/>
    <col min="55" max="56" width="8.7109375" style="385" hidden="1" customWidth="1"/>
    <col min="57" max="57" width="8.7109375" style="430" hidden="1" customWidth="1"/>
    <col min="58" max="59" width="8.7109375" style="385" customWidth="1"/>
    <col min="60" max="63" width="8.7109375" style="430" customWidth="1"/>
    <col min="64" max="65" width="8.7109375" style="431" customWidth="1"/>
    <col min="66" max="66" width="8.7109375" style="432" customWidth="1"/>
    <col min="67" max="67" width="2.140625" style="304" customWidth="1"/>
    <col min="68" max="16384" width="9.140625" style="304"/>
  </cols>
  <sheetData>
    <row r="1" spans="1:66" s="303" customFormat="1" ht="16.5">
      <c r="A1" s="1548" t="s">
        <v>398</v>
      </c>
      <c r="B1" s="1549"/>
      <c r="C1" s="1549"/>
      <c r="D1" s="1549"/>
      <c r="E1" s="1549"/>
      <c r="F1" s="1549"/>
      <c r="G1" s="1549"/>
      <c r="H1" s="1549"/>
      <c r="I1" s="1549"/>
      <c r="J1" s="1549"/>
      <c r="K1" s="1549"/>
      <c r="L1" s="1549"/>
      <c r="M1" s="1549"/>
      <c r="N1" s="1549"/>
      <c r="O1" s="1549"/>
      <c r="P1" s="1549"/>
      <c r="Q1" s="1549"/>
      <c r="R1" s="1549"/>
      <c r="S1" s="1549"/>
      <c r="T1" s="1549"/>
      <c r="U1" s="1549"/>
      <c r="V1" s="1549"/>
      <c r="W1" s="1549"/>
      <c r="X1" s="1549"/>
      <c r="Y1" s="1549"/>
      <c r="Z1" s="1549"/>
      <c r="AA1" s="1549"/>
      <c r="AB1" s="1549"/>
      <c r="AC1" s="1549"/>
      <c r="AD1" s="1549"/>
      <c r="AE1" s="1549"/>
      <c r="AF1" s="1549"/>
      <c r="AG1" s="1549"/>
      <c r="AH1" s="1549"/>
      <c r="AI1" s="1549"/>
      <c r="AJ1" s="1549"/>
      <c r="AK1" s="1549"/>
      <c r="AL1" s="1549"/>
      <c r="AM1" s="1549"/>
      <c r="AN1" s="1549"/>
      <c r="AO1" s="1549"/>
      <c r="AP1" s="1549"/>
      <c r="AQ1" s="1549"/>
      <c r="AR1" s="1549"/>
      <c r="AS1" s="1549"/>
      <c r="AT1" s="1549"/>
      <c r="AU1" s="1549"/>
      <c r="AV1" s="1549"/>
      <c r="AW1" s="1549"/>
      <c r="AX1" s="1549"/>
      <c r="AY1" s="1549"/>
      <c r="AZ1" s="1549"/>
      <c r="BA1" s="1549"/>
      <c r="BB1" s="1549"/>
      <c r="BC1" s="1549"/>
      <c r="BD1" s="1549"/>
      <c r="BE1" s="1549"/>
      <c r="BF1" s="1549"/>
      <c r="BG1" s="1549"/>
      <c r="BH1" s="1549"/>
      <c r="BI1" s="1549"/>
      <c r="BJ1" s="1549"/>
      <c r="BK1" s="1549"/>
      <c r="BL1" s="1549"/>
      <c r="BM1" s="1549"/>
      <c r="BN1" s="1550"/>
    </row>
    <row r="2" spans="1:66" ht="16.5">
      <c r="A2" s="1551" t="s">
        <v>371</v>
      </c>
      <c r="B2" s="1552"/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2"/>
      <c r="N2" s="1552"/>
      <c r="O2" s="1552"/>
      <c r="P2" s="1552"/>
      <c r="Q2" s="1552"/>
      <c r="R2" s="1552"/>
      <c r="S2" s="1552"/>
      <c r="T2" s="1552"/>
      <c r="U2" s="1552"/>
      <c r="V2" s="1552"/>
      <c r="W2" s="1552"/>
      <c r="X2" s="1552"/>
      <c r="Y2" s="1552"/>
      <c r="Z2" s="1552"/>
      <c r="AA2" s="1552"/>
      <c r="AB2" s="1552"/>
      <c r="AC2" s="1552"/>
      <c r="AD2" s="1552"/>
      <c r="AE2" s="1552"/>
      <c r="AF2" s="1552"/>
      <c r="AG2" s="1552"/>
      <c r="AH2" s="1552"/>
      <c r="AI2" s="1552"/>
      <c r="AJ2" s="1552"/>
      <c r="AK2" s="1552"/>
      <c r="AL2" s="1552"/>
      <c r="AM2" s="1552"/>
      <c r="AN2" s="1552"/>
      <c r="AO2" s="1552"/>
      <c r="AP2" s="1552"/>
      <c r="AQ2" s="1552"/>
      <c r="AR2" s="1552"/>
      <c r="AS2" s="1552"/>
      <c r="AT2" s="1552"/>
      <c r="AU2" s="1552"/>
      <c r="AV2" s="1552"/>
      <c r="AW2" s="1552"/>
      <c r="AX2" s="1552"/>
      <c r="AY2" s="1552"/>
      <c r="AZ2" s="1552"/>
      <c r="BA2" s="1552"/>
      <c r="BB2" s="1552"/>
      <c r="BC2" s="1552"/>
      <c r="BD2" s="1552"/>
      <c r="BE2" s="1552"/>
      <c r="BF2" s="1552"/>
      <c r="BG2" s="1552"/>
      <c r="BH2" s="1552"/>
      <c r="BI2" s="1552"/>
      <c r="BJ2" s="1552"/>
      <c r="BK2" s="1552"/>
      <c r="BL2" s="1552"/>
      <c r="BM2" s="1552"/>
      <c r="BN2" s="1553"/>
    </row>
    <row r="3" spans="1:66" s="313" customFormat="1">
      <c r="A3" s="1554" t="s">
        <v>79</v>
      </c>
      <c r="B3" s="305" t="s">
        <v>3</v>
      </c>
      <c r="C3" s="306"/>
      <c r="D3" s="307" t="s">
        <v>4</v>
      </c>
      <c r="E3" s="307"/>
      <c r="F3" s="307" t="s">
        <v>5</v>
      </c>
      <c r="G3" s="307"/>
      <c r="H3" s="307" t="s">
        <v>6</v>
      </c>
      <c r="I3" s="307"/>
      <c r="J3" s="307" t="s">
        <v>7</v>
      </c>
      <c r="K3" s="308"/>
      <c r="L3" s="307" t="s">
        <v>8</v>
      </c>
      <c r="M3" s="307"/>
      <c r="N3" s="307" t="s">
        <v>12</v>
      </c>
      <c r="O3" s="307"/>
      <c r="P3" s="309" t="s">
        <v>13</v>
      </c>
      <c r="Q3" s="308"/>
      <c r="R3" s="307" t="s">
        <v>14</v>
      </c>
      <c r="S3" s="307"/>
      <c r="T3" s="307" t="s">
        <v>92</v>
      </c>
      <c r="U3" s="307"/>
      <c r="V3" s="307" t="s">
        <v>103</v>
      </c>
      <c r="W3" s="307"/>
      <c r="X3" s="307" t="s">
        <v>109</v>
      </c>
      <c r="Y3" s="307"/>
      <c r="Z3" s="307" t="s">
        <v>126</v>
      </c>
      <c r="AA3" s="310"/>
      <c r="AB3" s="311" t="s">
        <v>211</v>
      </c>
      <c r="AC3" s="311"/>
      <c r="AD3" s="305"/>
      <c r="AE3" s="312" t="s">
        <v>219</v>
      </c>
      <c r="AF3" s="311"/>
      <c r="AG3" s="305"/>
      <c r="AH3" s="1535" t="s">
        <v>222</v>
      </c>
      <c r="AI3" s="1537"/>
      <c r="AJ3" s="1536"/>
      <c r="AK3" s="1535" t="s">
        <v>226</v>
      </c>
      <c r="AL3" s="1537"/>
      <c r="AM3" s="1536"/>
      <c r="AN3" s="1535" t="s">
        <v>229</v>
      </c>
      <c r="AO3" s="1537"/>
      <c r="AP3" s="1536"/>
      <c r="AQ3" s="1535" t="s">
        <v>258</v>
      </c>
      <c r="AR3" s="1537"/>
      <c r="AS3" s="1536"/>
      <c r="AT3" s="1535" t="s">
        <v>281</v>
      </c>
      <c r="AU3" s="1537"/>
      <c r="AV3" s="1536"/>
      <c r="AW3" s="1535" t="s">
        <v>293</v>
      </c>
      <c r="AX3" s="1537"/>
      <c r="AY3" s="1536"/>
      <c r="AZ3" s="1538" t="s">
        <v>301</v>
      </c>
      <c r="BA3" s="1538"/>
      <c r="BB3" s="1532"/>
      <c r="BC3" s="1531" t="s">
        <v>309</v>
      </c>
      <c r="BD3" s="1538"/>
      <c r="BE3" s="1532"/>
      <c r="BF3" s="1531" t="s">
        <v>319</v>
      </c>
      <c r="BG3" s="1538"/>
      <c r="BH3" s="1532"/>
      <c r="BI3" s="1531" t="s">
        <v>332</v>
      </c>
      <c r="BJ3" s="1538"/>
      <c r="BK3" s="1532"/>
      <c r="BL3" s="1538" t="s">
        <v>345</v>
      </c>
      <c r="BM3" s="1538"/>
      <c r="BN3" s="1547"/>
    </row>
    <row r="4" spans="1:66" s="313" customFormat="1">
      <c r="A4" s="1555"/>
      <c r="B4" s="314" t="s">
        <v>24</v>
      </c>
      <c r="C4" s="315" t="s">
        <v>399</v>
      </c>
      <c r="D4" s="316" t="s">
        <v>24</v>
      </c>
      <c r="E4" s="315" t="s">
        <v>399</v>
      </c>
      <c r="F4" s="316" t="s">
        <v>24</v>
      </c>
      <c r="G4" s="315" t="s">
        <v>399</v>
      </c>
      <c r="H4" s="316" t="s">
        <v>24</v>
      </c>
      <c r="I4" s="315" t="s">
        <v>399</v>
      </c>
      <c r="J4" s="316" t="s">
        <v>24</v>
      </c>
      <c r="K4" s="315" t="s">
        <v>399</v>
      </c>
      <c r="L4" s="316" t="s">
        <v>24</v>
      </c>
      <c r="M4" s="315" t="s">
        <v>399</v>
      </c>
      <c r="N4" s="316" t="s">
        <v>24</v>
      </c>
      <c r="O4" s="315" t="s">
        <v>399</v>
      </c>
      <c r="P4" s="316" t="s">
        <v>24</v>
      </c>
      <c r="Q4" s="315" t="s">
        <v>399</v>
      </c>
      <c r="R4" s="316" t="s">
        <v>24</v>
      </c>
      <c r="S4" s="315" t="s">
        <v>399</v>
      </c>
      <c r="T4" s="316" t="s">
        <v>24</v>
      </c>
      <c r="U4" s="315" t="s">
        <v>399</v>
      </c>
      <c r="V4" s="316" t="s">
        <v>24</v>
      </c>
      <c r="W4" s="315" t="s">
        <v>399</v>
      </c>
      <c r="X4" s="316" t="s">
        <v>24</v>
      </c>
      <c r="Y4" s="315" t="s">
        <v>399</v>
      </c>
      <c r="Z4" s="316" t="s">
        <v>24</v>
      </c>
      <c r="AA4" s="315" t="s">
        <v>399</v>
      </c>
      <c r="AB4" s="317" t="s">
        <v>107</v>
      </c>
      <c r="AC4" s="318" t="s">
        <v>225</v>
      </c>
      <c r="AD4" s="318" t="s">
        <v>76</v>
      </c>
      <c r="AE4" s="317" t="s">
        <v>107</v>
      </c>
      <c r="AF4" s="318" t="s">
        <v>108</v>
      </c>
      <c r="AG4" s="318" t="s">
        <v>76</v>
      </c>
      <c r="AH4" s="319" t="s">
        <v>107</v>
      </c>
      <c r="AI4" s="318" t="s">
        <v>254</v>
      </c>
      <c r="AJ4" s="315" t="s">
        <v>76</v>
      </c>
      <c r="AK4" s="319" t="s">
        <v>107</v>
      </c>
      <c r="AL4" s="318" t="s">
        <v>254</v>
      </c>
      <c r="AM4" s="315" t="s">
        <v>76</v>
      </c>
      <c r="AN4" s="319" t="s">
        <v>107</v>
      </c>
      <c r="AO4" s="320" t="s">
        <v>254</v>
      </c>
      <c r="AP4" s="321" t="s">
        <v>76</v>
      </c>
      <c r="AQ4" s="319" t="s">
        <v>107</v>
      </c>
      <c r="AR4" s="318" t="s">
        <v>254</v>
      </c>
      <c r="AS4" s="315" t="s">
        <v>76</v>
      </c>
      <c r="AT4" s="319" t="s">
        <v>107</v>
      </c>
      <c r="AU4" s="318" t="s">
        <v>254</v>
      </c>
      <c r="AV4" s="315" t="s">
        <v>76</v>
      </c>
      <c r="AW4" s="319" t="s">
        <v>107</v>
      </c>
      <c r="AX4" s="320" t="s">
        <v>254</v>
      </c>
      <c r="AY4" s="321" t="s">
        <v>76</v>
      </c>
      <c r="AZ4" s="322" t="s">
        <v>107</v>
      </c>
      <c r="BA4" s="323" t="s">
        <v>254</v>
      </c>
      <c r="BB4" s="316" t="s">
        <v>76</v>
      </c>
      <c r="BC4" s="324" t="s">
        <v>107</v>
      </c>
      <c r="BD4" s="323" t="s">
        <v>254</v>
      </c>
      <c r="BE4" s="316" t="s">
        <v>76</v>
      </c>
      <c r="BF4" s="324" t="s">
        <v>107</v>
      </c>
      <c r="BG4" s="323" t="s">
        <v>254</v>
      </c>
      <c r="BH4" s="316" t="s">
        <v>76</v>
      </c>
      <c r="BI4" s="324" t="s">
        <v>107</v>
      </c>
      <c r="BJ4" s="322" t="s">
        <v>254</v>
      </c>
      <c r="BK4" s="325" t="s">
        <v>76</v>
      </c>
      <c r="BL4" s="322" t="s">
        <v>107</v>
      </c>
      <c r="BM4" s="323" t="s">
        <v>254</v>
      </c>
      <c r="BN4" s="326" t="s">
        <v>76</v>
      </c>
    </row>
    <row r="5" spans="1:66" s="335" customFormat="1" ht="13.5">
      <c r="A5" s="327" t="s">
        <v>162</v>
      </c>
      <c r="B5" s="328" t="s">
        <v>163</v>
      </c>
      <c r="C5" s="328" t="s">
        <v>164</v>
      </c>
      <c r="D5" s="328" t="s">
        <v>165</v>
      </c>
      <c r="E5" s="328" t="s">
        <v>166</v>
      </c>
      <c r="F5" s="328" t="s">
        <v>167</v>
      </c>
      <c r="G5" s="328" t="s">
        <v>168</v>
      </c>
      <c r="H5" s="328" t="s">
        <v>169</v>
      </c>
      <c r="I5" s="328" t="s">
        <v>170</v>
      </c>
      <c r="J5" s="328" t="s">
        <v>171</v>
      </c>
      <c r="K5" s="328" t="s">
        <v>172</v>
      </c>
      <c r="L5" s="328" t="s">
        <v>173</v>
      </c>
      <c r="M5" s="328" t="s">
        <v>174</v>
      </c>
      <c r="N5" s="328" t="s">
        <v>175</v>
      </c>
      <c r="O5" s="328" t="s">
        <v>176</v>
      </c>
      <c r="P5" s="328" t="s">
        <v>177</v>
      </c>
      <c r="Q5" s="328" t="s">
        <v>178</v>
      </c>
      <c r="R5" s="328" t="s">
        <v>179</v>
      </c>
      <c r="S5" s="328" t="s">
        <v>180</v>
      </c>
      <c r="T5" s="328" t="s">
        <v>181</v>
      </c>
      <c r="U5" s="328" t="s">
        <v>182</v>
      </c>
      <c r="V5" s="329"/>
      <c r="W5" s="329"/>
      <c r="X5" s="328" t="s">
        <v>163</v>
      </c>
      <c r="Y5" s="328" t="s">
        <v>164</v>
      </c>
      <c r="Z5" s="328" t="s">
        <v>165</v>
      </c>
      <c r="AA5" s="328" t="s">
        <v>166</v>
      </c>
      <c r="AB5" s="330" t="s">
        <v>163</v>
      </c>
      <c r="AC5" s="330" t="s">
        <v>164</v>
      </c>
      <c r="AD5" s="330" t="s">
        <v>165</v>
      </c>
      <c r="AE5" s="330" t="s">
        <v>166</v>
      </c>
      <c r="AF5" s="330" t="s">
        <v>167</v>
      </c>
      <c r="AG5" s="330" t="s">
        <v>168</v>
      </c>
      <c r="AH5" s="330" t="s">
        <v>169</v>
      </c>
      <c r="AI5" s="330" t="s">
        <v>170</v>
      </c>
      <c r="AJ5" s="330" t="s">
        <v>171</v>
      </c>
      <c r="AK5" s="330" t="s">
        <v>169</v>
      </c>
      <c r="AL5" s="330" t="s">
        <v>170</v>
      </c>
      <c r="AM5" s="330" t="s">
        <v>171</v>
      </c>
      <c r="AN5" s="330" t="s">
        <v>169</v>
      </c>
      <c r="AO5" s="330" t="s">
        <v>170</v>
      </c>
      <c r="AP5" s="330" t="s">
        <v>171</v>
      </c>
      <c r="AQ5" s="331" t="s">
        <v>163</v>
      </c>
      <c r="AR5" s="331" t="s">
        <v>164</v>
      </c>
      <c r="AS5" s="331" t="s">
        <v>165</v>
      </c>
      <c r="AT5" s="331" t="s">
        <v>163</v>
      </c>
      <c r="AU5" s="331" t="s">
        <v>164</v>
      </c>
      <c r="AV5" s="331" t="s">
        <v>165</v>
      </c>
      <c r="AW5" s="331" t="s">
        <v>163</v>
      </c>
      <c r="AX5" s="331" t="s">
        <v>164</v>
      </c>
      <c r="AY5" s="331" t="s">
        <v>165</v>
      </c>
      <c r="AZ5" s="332" t="s">
        <v>163</v>
      </c>
      <c r="BA5" s="332" t="s">
        <v>164</v>
      </c>
      <c r="BB5" s="332" t="s">
        <v>165</v>
      </c>
      <c r="BC5" s="332" t="s">
        <v>163</v>
      </c>
      <c r="BD5" s="332" t="s">
        <v>164</v>
      </c>
      <c r="BE5" s="332" t="s">
        <v>165</v>
      </c>
      <c r="BF5" s="332" t="s">
        <v>163</v>
      </c>
      <c r="BG5" s="332" t="s">
        <v>164</v>
      </c>
      <c r="BH5" s="332" t="s">
        <v>165</v>
      </c>
      <c r="BI5" s="333" t="s">
        <v>166</v>
      </c>
      <c r="BJ5" s="333" t="s">
        <v>167</v>
      </c>
      <c r="BK5" s="333" t="s">
        <v>168</v>
      </c>
      <c r="BL5" s="333" t="s">
        <v>169</v>
      </c>
      <c r="BM5" s="333" t="s">
        <v>170</v>
      </c>
      <c r="BN5" s="334" t="s">
        <v>171</v>
      </c>
    </row>
    <row r="6" spans="1:66" s="313" customFormat="1">
      <c r="A6" s="336" t="s">
        <v>37</v>
      </c>
      <c r="B6" s="337">
        <v>22.193000000000001</v>
      </c>
      <c r="C6" s="338">
        <f t="shared" ref="C6:C11" si="0">100*B6/B$46</f>
        <v>4.5870365011781242</v>
      </c>
      <c r="D6" s="337">
        <v>24.216999999999999</v>
      </c>
      <c r="E6" s="338">
        <f t="shared" ref="E6:E11" si="1">100*D6/D$46</f>
        <v>4.8507343102771383</v>
      </c>
      <c r="F6" s="337">
        <v>25.805</v>
      </c>
      <c r="G6" s="338">
        <f t="shared" ref="G6:G11" si="2">100*F6/F$46</f>
        <v>4.8416360057863228</v>
      </c>
      <c r="H6" s="337">
        <v>28.042999999999999</v>
      </c>
      <c r="I6" s="338">
        <f t="shared" ref="I6:I11" si="3">100*H6/H$46</f>
        <v>4.9602725381709085</v>
      </c>
      <c r="J6" s="337">
        <v>26.641999999999999</v>
      </c>
      <c r="K6" s="338">
        <f t="shared" ref="K6:K11" si="4">100*J6/J$46</f>
        <v>4.5582086079345201</v>
      </c>
      <c r="L6" s="337">
        <v>25.538</v>
      </c>
      <c r="M6" s="338">
        <f t="shared" ref="M6:M11" si="5">100*L6/L$46</f>
        <v>4.5214324538216539</v>
      </c>
      <c r="N6" s="337">
        <v>25.893999999999998</v>
      </c>
      <c r="O6" s="338">
        <f t="shared" ref="O6:O11" si="6">100*N6/N$46</f>
        <v>4.3542452798461024</v>
      </c>
      <c r="P6" s="337">
        <v>27.774000000000001</v>
      </c>
      <c r="Q6" s="338">
        <f t="shared" ref="Q6:Q11" si="7">100*P6/P$46</f>
        <v>4.4948948132467823</v>
      </c>
      <c r="R6" s="337">
        <v>27.803999999999998</v>
      </c>
      <c r="S6" s="338">
        <f t="shared" ref="S6:S11" si="8">100*R6/R$46</f>
        <v>4.3542332562316872</v>
      </c>
      <c r="T6" s="337">
        <v>26.754000000000001</v>
      </c>
      <c r="U6" s="338">
        <f t="shared" ref="U6:U11" si="9">100*T6/T$46</f>
        <v>4.0791869070816293</v>
      </c>
      <c r="V6" s="337">
        <v>26.91</v>
      </c>
      <c r="W6" s="338">
        <f t="shared" ref="W6:W11" si="10">100*V6/V$46</f>
        <v>3.9052069425901204</v>
      </c>
      <c r="X6" s="337">
        <v>26.670999999999999</v>
      </c>
      <c r="Y6" s="338">
        <f t="shared" ref="Y6:Y11" si="11">100*X6/X$46</f>
        <v>3.6708447856552007</v>
      </c>
      <c r="Z6" s="337">
        <v>28.202999999999999</v>
      </c>
      <c r="AA6" s="338">
        <f t="shared" ref="AA6:AA11" si="12">100*Z6/Z$46</f>
        <v>3.747179949139436</v>
      </c>
      <c r="AB6" s="339">
        <v>4.2999999999999997E-2</v>
      </c>
      <c r="AC6" s="339">
        <v>27.806000000000001</v>
      </c>
      <c r="AD6" s="340">
        <f t="shared" ref="AD6:AD11" si="13">AB6+AC6</f>
        <v>27.849</v>
      </c>
      <c r="AE6" s="341">
        <v>5.5E-2</v>
      </c>
      <c r="AF6" s="339">
        <v>28.771999999999998</v>
      </c>
      <c r="AG6" s="340">
        <f>AE6+AF6</f>
        <v>28.826999999999998</v>
      </c>
      <c r="AH6" s="342">
        <v>0.05</v>
      </c>
      <c r="AI6" s="339">
        <v>29.314</v>
      </c>
      <c r="AJ6" s="340">
        <f>AH6+AI6</f>
        <v>29.364000000000001</v>
      </c>
      <c r="AK6" s="342">
        <v>9.9000000000000005E-2</v>
      </c>
      <c r="AL6" s="339">
        <v>30.391999999999999</v>
      </c>
      <c r="AM6" s="340">
        <f>AK6+AL6</f>
        <v>30.491</v>
      </c>
      <c r="AN6" s="343">
        <v>4.2999999999999997E-2</v>
      </c>
      <c r="AO6" s="339">
        <v>35.501000000000005</v>
      </c>
      <c r="AP6" s="340">
        <v>35.543999999999997</v>
      </c>
      <c r="AQ6" s="342">
        <v>4.4999999999999998E-2</v>
      </c>
      <c r="AR6" s="341">
        <v>35.929000000000002</v>
      </c>
      <c r="AS6" s="344">
        <f>AQ6+AR6</f>
        <v>35.974000000000004</v>
      </c>
      <c r="AT6" s="342">
        <v>3.6000000000000004E-2</v>
      </c>
      <c r="AU6" s="341">
        <v>38.183999999999997</v>
      </c>
      <c r="AV6" s="344">
        <v>38.22</v>
      </c>
      <c r="AW6" s="343">
        <v>1.7000000000000001E-2</v>
      </c>
      <c r="AX6" s="339">
        <v>38.361999999999995</v>
      </c>
      <c r="AY6" s="344">
        <f t="shared" ref="AY6:AY15" si="14">AW6+AX6</f>
        <v>38.378999999999998</v>
      </c>
      <c r="AZ6" s="341">
        <v>2.8999999999999998E-2</v>
      </c>
      <c r="BA6" s="341">
        <v>42.778999999999996</v>
      </c>
      <c r="BB6" s="344">
        <f t="shared" ref="BB6:BB15" si="15">AZ6+BA6</f>
        <v>42.808</v>
      </c>
      <c r="BC6" s="342">
        <v>3.9E-2</v>
      </c>
      <c r="BD6" s="341">
        <v>43.394999999999996</v>
      </c>
      <c r="BE6" s="344">
        <f t="shared" ref="BE6:BE15" si="16">BC6+BD6</f>
        <v>43.433999999999997</v>
      </c>
      <c r="BF6" s="345">
        <v>2.5999999999999999E-2</v>
      </c>
      <c r="BG6" s="346">
        <v>50.198</v>
      </c>
      <c r="BH6" s="188">
        <f t="shared" ref="BH6:BH15" si="17">BF6+BG6</f>
        <v>50.224000000000004</v>
      </c>
      <c r="BI6" s="347">
        <v>2.7E-2</v>
      </c>
      <c r="BJ6" s="187">
        <v>49.108000000000004</v>
      </c>
      <c r="BK6" s="188">
        <v>49.135000000000005</v>
      </c>
      <c r="BL6" s="348" t="e">
        <f>SUMIF([3]DT12!$B$6:$B$81,$A6,[3]DT12!AP$6:AP$81)</f>
        <v>#VALUE!</v>
      </c>
      <c r="BM6" s="346" t="e">
        <f>SUMIF([3]DT12!$B$6:$B$81,$A6,[3]DT12!AQ$6:AQ$81)</f>
        <v>#VALUE!</v>
      </c>
      <c r="BN6" s="349" t="e">
        <f>BL6+BM6</f>
        <v>#VALUE!</v>
      </c>
    </row>
    <row r="7" spans="1:66" s="313" customFormat="1">
      <c r="A7" s="350" t="s">
        <v>38</v>
      </c>
      <c r="B7" s="337">
        <v>28.535</v>
      </c>
      <c r="C7" s="338">
        <f t="shared" si="0"/>
        <v>5.8978545740151294</v>
      </c>
      <c r="D7" s="337">
        <v>28.34</v>
      </c>
      <c r="E7" s="338">
        <f t="shared" si="1"/>
        <v>5.6765829934861509</v>
      </c>
      <c r="F7" s="337">
        <v>26.545000000000002</v>
      </c>
      <c r="G7" s="338">
        <f t="shared" si="2"/>
        <v>4.9804777280991255</v>
      </c>
      <c r="H7" s="337">
        <v>26.751000000000001</v>
      </c>
      <c r="I7" s="338">
        <f t="shared" si="3"/>
        <v>4.7317423481300134</v>
      </c>
      <c r="J7" s="337">
        <v>27.571000000000002</v>
      </c>
      <c r="K7" s="338">
        <f t="shared" si="4"/>
        <v>4.7171522231575214</v>
      </c>
      <c r="L7" s="337">
        <v>26.829000000000001</v>
      </c>
      <c r="M7" s="338">
        <f t="shared" si="5"/>
        <v>4.7500004426181048</v>
      </c>
      <c r="N7" s="337">
        <v>28.582999999999998</v>
      </c>
      <c r="O7" s="338">
        <f t="shared" si="6"/>
        <v>4.806418198572687</v>
      </c>
      <c r="P7" s="337">
        <v>25.683</v>
      </c>
      <c r="Q7" s="338">
        <f t="shared" si="7"/>
        <v>4.1564910883782362</v>
      </c>
      <c r="R7" s="337">
        <v>24.696000000000002</v>
      </c>
      <c r="S7" s="338">
        <f t="shared" si="8"/>
        <v>3.8675062759278438</v>
      </c>
      <c r="T7" s="337">
        <v>21.776</v>
      </c>
      <c r="U7" s="338">
        <f t="shared" si="9"/>
        <v>3.320190404747311</v>
      </c>
      <c r="V7" s="337">
        <v>23.390999999999998</v>
      </c>
      <c r="W7" s="338">
        <f t="shared" si="10"/>
        <v>3.3945260347129507</v>
      </c>
      <c r="X7" s="337">
        <v>22.076000000000001</v>
      </c>
      <c r="Y7" s="338">
        <f t="shared" si="11"/>
        <v>3.0384151133487385</v>
      </c>
      <c r="Z7" s="337">
        <v>22.012</v>
      </c>
      <c r="AA7" s="338">
        <f t="shared" si="12"/>
        <v>2.9246152905881382</v>
      </c>
      <c r="AB7" s="339">
        <v>12.91</v>
      </c>
      <c r="AC7" s="339">
        <v>11.443</v>
      </c>
      <c r="AD7" s="340">
        <f t="shared" si="13"/>
        <v>24.353000000000002</v>
      </c>
      <c r="AE7" s="341">
        <v>18.952999999999999</v>
      </c>
      <c r="AF7" s="339">
        <v>5.91</v>
      </c>
      <c r="AG7" s="340">
        <f t="shared" ref="AG7:AG21" si="18">AE7+AF7</f>
        <v>24.863</v>
      </c>
      <c r="AH7" s="342">
        <v>25.673999999999999</v>
      </c>
      <c r="AI7" s="339">
        <v>3.577</v>
      </c>
      <c r="AJ7" s="340">
        <f t="shared" ref="AJ7:AJ15" si="19">AH7+AI7</f>
        <v>29.250999999999998</v>
      </c>
      <c r="AK7" s="342">
        <v>27.132000000000001</v>
      </c>
      <c r="AL7" s="339">
        <v>2.9380000000000002</v>
      </c>
      <c r="AM7" s="340">
        <f t="shared" ref="AM7:AM15" si="20">AK7+AL7</f>
        <v>30.07</v>
      </c>
      <c r="AN7" s="343">
        <v>28.97</v>
      </c>
      <c r="AO7" s="339">
        <v>4.0270000000000001</v>
      </c>
      <c r="AP7" s="340">
        <v>32.997</v>
      </c>
      <c r="AQ7" s="342">
        <v>31.496000000000002</v>
      </c>
      <c r="AR7" s="341">
        <v>2.5619999999999998</v>
      </c>
      <c r="AS7" s="344">
        <f t="shared" ref="AS7:AS15" si="21">AQ7+AR7</f>
        <v>34.058</v>
      </c>
      <c r="AT7" s="342">
        <v>30.093</v>
      </c>
      <c r="AU7" s="341">
        <v>3.5140000000000002</v>
      </c>
      <c r="AV7" s="344">
        <v>33.606999999999999</v>
      </c>
      <c r="AW7" s="343">
        <v>32.914000000000001</v>
      </c>
      <c r="AX7" s="339">
        <v>3.25</v>
      </c>
      <c r="AY7" s="344">
        <f t="shared" si="14"/>
        <v>36.164000000000001</v>
      </c>
      <c r="AZ7" s="341">
        <v>31.08</v>
      </c>
      <c r="BA7" s="341">
        <v>3.7330000000000001</v>
      </c>
      <c r="BB7" s="344">
        <f t="shared" si="15"/>
        <v>34.812999999999995</v>
      </c>
      <c r="BC7" s="342">
        <v>24.164999999999999</v>
      </c>
      <c r="BD7" s="341">
        <v>9.1379999999999999</v>
      </c>
      <c r="BE7" s="344">
        <f t="shared" si="16"/>
        <v>33.302999999999997</v>
      </c>
      <c r="BF7" s="351">
        <v>25.725999999999999</v>
      </c>
      <c r="BG7" s="352">
        <v>7.3559999999999999</v>
      </c>
      <c r="BH7" s="184">
        <f t="shared" si="17"/>
        <v>33.082000000000001</v>
      </c>
      <c r="BI7" s="182">
        <v>25.972999999999999</v>
      </c>
      <c r="BJ7" s="190">
        <v>2.698</v>
      </c>
      <c r="BK7" s="184">
        <v>28.670999999999999</v>
      </c>
      <c r="BL7" s="353" t="e">
        <f>SUMIF([3]DT12!$B$6:$B$81,$A7,[3]DT12!AP$6:AP$81)</f>
        <v>#VALUE!</v>
      </c>
      <c r="BM7" s="352" t="e">
        <f>SUMIF([3]DT12!$B$6:$B$81,$A7,[3]DT12!AQ$6:AQ$81)</f>
        <v>#VALUE!</v>
      </c>
      <c r="BN7" s="354" t="e">
        <f t="shared" ref="BN7:BN15" si="22">BL7+BM7</f>
        <v>#VALUE!</v>
      </c>
    </row>
    <row r="8" spans="1:66" s="313" customFormat="1">
      <c r="A8" s="350" t="s">
        <v>39</v>
      </c>
      <c r="B8" s="337">
        <v>33.018999999999998</v>
      </c>
      <c r="C8" s="338">
        <f t="shared" si="0"/>
        <v>6.8246455293290875</v>
      </c>
      <c r="D8" s="337">
        <v>31.175999999999998</v>
      </c>
      <c r="E8" s="338">
        <f t="shared" si="1"/>
        <v>6.2446418985506078</v>
      </c>
      <c r="F8" s="337">
        <v>30.835000000000001</v>
      </c>
      <c r="G8" s="338">
        <f t="shared" si="2"/>
        <v>5.7853844696152397</v>
      </c>
      <c r="H8" s="337">
        <v>31.19</v>
      </c>
      <c r="I8" s="338">
        <f t="shared" si="3"/>
        <v>5.516916894253491</v>
      </c>
      <c r="J8" s="337">
        <v>32.491</v>
      </c>
      <c r="K8" s="338">
        <f t="shared" si="4"/>
        <v>5.5589203468358424</v>
      </c>
      <c r="L8" s="337">
        <v>31.984000000000002</v>
      </c>
      <c r="M8" s="338">
        <f t="shared" si="5"/>
        <v>5.6626789726302675</v>
      </c>
      <c r="N8" s="337">
        <v>32.539000000000001</v>
      </c>
      <c r="O8" s="338">
        <f t="shared" si="6"/>
        <v>5.4716454453121326</v>
      </c>
      <c r="P8" s="337">
        <v>32.631</v>
      </c>
      <c r="Q8" s="338">
        <f t="shared" si="7"/>
        <v>5.2809430636946697</v>
      </c>
      <c r="R8" s="337">
        <v>33.064</v>
      </c>
      <c r="S8" s="338">
        <f t="shared" si="8"/>
        <v>5.1779732550728141</v>
      </c>
      <c r="T8" s="337">
        <v>36.536999999999999</v>
      </c>
      <c r="U8" s="338">
        <f t="shared" si="9"/>
        <v>5.570802572476695</v>
      </c>
      <c r="V8" s="337">
        <v>36.197000000000003</v>
      </c>
      <c r="W8" s="338">
        <f t="shared" si="10"/>
        <v>5.2529459569280785</v>
      </c>
      <c r="X8" s="337">
        <v>35.744</v>
      </c>
      <c r="Y8" s="338">
        <f t="shared" si="11"/>
        <v>4.9196009155434552</v>
      </c>
      <c r="Z8" s="337">
        <v>38.564</v>
      </c>
      <c r="AA8" s="338">
        <f t="shared" si="12"/>
        <v>5.1237899357732593</v>
      </c>
      <c r="AB8" s="339">
        <v>13.673</v>
      </c>
      <c r="AC8" s="339">
        <v>30.155999999999999</v>
      </c>
      <c r="AD8" s="340">
        <f t="shared" si="13"/>
        <v>43.829000000000001</v>
      </c>
      <c r="AE8" s="341">
        <v>14.433999999999999</v>
      </c>
      <c r="AF8" s="339">
        <v>29.84</v>
      </c>
      <c r="AG8" s="340">
        <f t="shared" si="18"/>
        <v>44.274000000000001</v>
      </c>
      <c r="AH8" s="342">
        <v>14.555</v>
      </c>
      <c r="AI8" s="339">
        <v>31.663</v>
      </c>
      <c r="AJ8" s="340">
        <f t="shared" si="19"/>
        <v>46.218000000000004</v>
      </c>
      <c r="AK8" s="342">
        <v>15.701000000000001</v>
      </c>
      <c r="AL8" s="339">
        <v>32.332000000000001</v>
      </c>
      <c r="AM8" s="340">
        <f t="shared" si="20"/>
        <v>48.033000000000001</v>
      </c>
      <c r="AN8" s="343">
        <v>18.478999999999999</v>
      </c>
      <c r="AO8" s="339">
        <v>34.406999999999996</v>
      </c>
      <c r="AP8" s="340">
        <v>52.885999999999996</v>
      </c>
      <c r="AQ8" s="342">
        <v>18.678999999999998</v>
      </c>
      <c r="AR8" s="341">
        <v>33.442</v>
      </c>
      <c r="AS8" s="344">
        <f t="shared" si="21"/>
        <v>52.120999999999995</v>
      </c>
      <c r="AT8" s="342">
        <v>19.359000000000002</v>
      </c>
      <c r="AU8" s="341">
        <v>35.978000000000002</v>
      </c>
      <c r="AV8" s="344">
        <v>55.337000000000003</v>
      </c>
      <c r="AW8" s="343">
        <v>18.798999999999999</v>
      </c>
      <c r="AX8" s="339">
        <v>40.783000000000001</v>
      </c>
      <c r="AY8" s="344">
        <f t="shared" si="14"/>
        <v>59.582000000000001</v>
      </c>
      <c r="AZ8" s="341">
        <v>21.038</v>
      </c>
      <c r="BA8" s="341">
        <v>39.895000000000003</v>
      </c>
      <c r="BB8" s="344">
        <f t="shared" si="15"/>
        <v>60.933000000000007</v>
      </c>
      <c r="BC8" s="342">
        <v>13.965999999999999</v>
      </c>
      <c r="BD8" s="341">
        <v>53.542999999999999</v>
      </c>
      <c r="BE8" s="344">
        <f t="shared" si="16"/>
        <v>67.509</v>
      </c>
      <c r="BF8" s="351">
        <v>10.117000000000001</v>
      </c>
      <c r="BG8" s="352">
        <v>58.328000000000003</v>
      </c>
      <c r="BH8" s="184">
        <f t="shared" si="17"/>
        <v>68.445000000000007</v>
      </c>
      <c r="BI8" s="182">
        <v>17.803999999999998</v>
      </c>
      <c r="BJ8" s="190">
        <v>49.527999999999999</v>
      </c>
      <c r="BK8" s="184">
        <v>67.331999999999994</v>
      </c>
      <c r="BL8" s="353" t="e">
        <f>SUMIF([3]DT12!$B$6:$B$81,$A8,[3]DT12!AP$6:AP$81)</f>
        <v>#VALUE!</v>
      </c>
      <c r="BM8" s="352" t="e">
        <f>SUMIF([3]DT12!$B$6:$B$81,$A8,[3]DT12!AQ$6:AQ$81)</f>
        <v>#VALUE!</v>
      </c>
      <c r="BN8" s="354" t="e">
        <f t="shared" si="22"/>
        <v>#VALUE!</v>
      </c>
    </row>
    <row r="9" spans="1:66" s="313" customFormat="1">
      <c r="A9" s="350" t="s">
        <v>40</v>
      </c>
      <c r="B9" s="337">
        <v>32.371000000000002</v>
      </c>
      <c r="C9" s="338">
        <f t="shared" si="0"/>
        <v>6.6907114216030754</v>
      </c>
      <c r="D9" s="337">
        <v>32.918999999999997</v>
      </c>
      <c r="E9" s="338">
        <f t="shared" si="1"/>
        <v>6.5937697799072188</v>
      </c>
      <c r="F9" s="337">
        <v>35.07</v>
      </c>
      <c r="G9" s="338">
        <f t="shared" si="2"/>
        <v>6.579971893932429</v>
      </c>
      <c r="H9" s="337">
        <v>37.088000000000001</v>
      </c>
      <c r="I9" s="338">
        <f t="shared" si="3"/>
        <v>6.5601607494092171</v>
      </c>
      <c r="J9" s="337">
        <v>37.466999999999999</v>
      </c>
      <c r="K9" s="338">
        <f t="shared" si="4"/>
        <v>6.4102695711088762</v>
      </c>
      <c r="L9" s="337">
        <v>35.454999999999998</v>
      </c>
      <c r="M9" s="338">
        <f t="shared" si="5"/>
        <v>6.2772099479304071</v>
      </c>
      <c r="N9" s="337">
        <v>39.182000000000002</v>
      </c>
      <c r="O9" s="338">
        <f t="shared" si="6"/>
        <v>6.5887092977110537</v>
      </c>
      <c r="P9" s="337">
        <v>42.058</v>
      </c>
      <c r="Q9" s="338">
        <f t="shared" si="7"/>
        <v>6.8065919945104483</v>
      </c>
      <c r="R9" s="337">
        <v>42.683999999999997</v>
      </c>
      <c r="S9" s="338">
        <f t="shared" si="8"/>
        <v>6.6845091464894741</v>
      </c>
      <c r="T9" s="337">
        <v>44.427999999999997</v>
      </c>
      <c r="U9" s="338">
        <f t="shared" si="9"/>
        <v>6.7739446777238026</v>
      </c>
      <c r="V9" s="337">
        <v>46.484000000000002</v>
      </c>
      <c r="W9" s="338">
        <f t="shared" si="10"/>
        <v>6.7458060022058408</v>
      </c>
      <c r="X9" s="337">
        <v>50.116999999999997</v>
      </c>
      <c r="Y9" s="338">
        <f t="shared" si="11"/>
        <v>6.8978189090278459</v>
      </c>
      <c r="Z9" s="337">
        <v>51.679000000000002</v>
      </c>
      <c r="AA9" s="338">
        <f t="shared" si="12"/>
        <v>6.866308995198275</v>
      </c>
      <c r="AB9" s="355">
        <v>0</v>
      </c>
      <c r="AC9" s="339">
        <v>64.230999999999995</v>
      </c>
      <c r="AD9" s="340">
        <f t="shared" si="13"/>
        <v>64.230999999999995</v>
      </c>
      <c r="AE9" s="356">
        <v>0</v>
      </c>
      <c r="AF9" s="339">
        <v>66.668999999999997</v>
      </c>
      <c r="AG9" s="340">
        <f t="shared" si="18"/>
        <v>66.668999999999997</v>
      </c>
      <c r="AH9" s="357">
        <v>0</v>
      </c>
      <c r="AI9" s="339">
        <v>64.207999999999998</v>
      </c>
      <c r="AJ9" s="340">
        <f t="shared" si="19"/>
        <v>64.207999999999998</v>
      </c>
      <c r="AK9" s="357">
        <v>0</v>
      </c>
      <c r="AL9" s="339">
        <v>63.604999999999997</v>
      </c>
      <c r="AM9" s="340">
        <f t="shared" si="20"/>
        <v>63.604999999999997</v>
      </c>
      <c r="AN9" s="343">
        <v>0</v>
      </c>
      <c r="AO9" s="339">
        <v>67.021000000000001</v>
      </c>
      <c r="AP9" s="340">
        <v>67.021000000000001</v>
      </c>
      <c r="AQ9" s="342">
        <v>0</v>
      </c>
      <c r="AR9" s="341">
        <v>71.891999999999996</v>
      </c>
      <c r="AS9" s="344">
        <f t="shared" si="21"/>
        <v>71.891999999999996</v>
      </c>
      <c r="AT9" s="342">
        <v>0</v>
      </c>
      <c r="AU9" s="341">
        <v>73.518000000000001</v>
      </c>
      <c r="AV9" s="344">
        <v>73.518000000000001</v>
      </c>
      <c r="AW9" s="343">
        <v>0</v>
      </c>
      <c r="AX9" s="339">
        <v>78.361999999999995</v>
      </c>
      <c r="AY9" s="344">
        <f t="shared" si="14"/>
        <v>78.361999999999995</v>
      </c>
      <c r="AZ9" s="341">
        <v>0</v>
      </c>
      <c r="BA9" s="341">
        <v>83.491</v>
      </c>
      <c r="BB9" s="344">
        <f t="shared" si="15"/>
        <v>83.491</v>
      </c>
      <c r="BC9" s="342"/>
      <c r="BD9" s="341">
        <v>96.772000000000006</v>
      </c>
      <c r="BE9" s="344">
        <f t="shared" si="16"/>
        <v>96.772000000000006</v>
      </c>
      <c r="BF9" s="351"/>
      <c r="BG9" s="352">
        <v>101.57400000000001</v>
      </c>
      <c r="BH9" s="184">
        <f t="shared" si="17"/>
        <v>101.57400000000001</v>
      </c>
      <c r="BI9" s="182"/>
      <c r="BJ9" s="190">
        <v>107.423</v>
      </c>
      <c r="BK9" s="184">
        <v>107.423</v>
      </c>
      <c r="BL9" s="353"/>
      <c r="BM9" s="352" t="e">
        <f>SUMIF([3]DT12!$B$6:$B$81,$A9,[3]DT12!AQ$6:AQ$81)</f>
        <v>#VALUE!</v>
      </c>
      <c r="BN9" s="354" t="e">
        <f t="shared" si="22"/>
        <v>#VALUE!</v>
      </c>
    </row>
    <row r="10" spans="1:66" s="313" customFormat="1">
      <c r="A10" s="350" t="s">
        <v>41</v>
      </c>
      <c r="B10" s="337">
        <v>25.52</v>
      </c>
      <c r="C10" s="338">
        <f t="shared" si="0"/>
        <v>5.2746889339010368</v>
      </c>
      <c r="D10" s="337">
        <v>27.260999999999999</v>
      </c>
      <c r="E10" s="338">
        <f t="shared" si="1"/>
        <v>5.4604562097892009</v>
      </c>
      <c r="F10" s="337">
        <v>30.373000000000001</v>
      </c>
      <c r="G10" s="338">
        <f t="shared" si="2"/>
        <v>5.6987022051442739</v>
      </c>
      <c r="H10" s="337">
        <v>30.911999999999999</v>
      </c>
      <c r="I10" s="338">
        <f t="shared" si="3"/>
        <v>5.467743989585248</v>
      </c>
      <c r="J10" s="337">
        <v>31.350999999999999</v>
      </c>
      <c r="K10" s="338">
        <f t="shared" si="4"/>
        <v>5.363876513300621</v>
      </c>
      <c r="L10" s="337">
        <v>30.437000000000001</v>
      </c>
      <c r="M10" s="338">
        <f t="shared" si="5"/>
        <v>5.3887868900058615</v>
      </c>
      <c r="N10" s="337">
        <v>34.628</v>
      </c>
      <c r="O10" s="338">
        <f t="shared" si="6"/>
        <v>5.8229244439063441</v>
      </c>
      <c r="P10" s="337">
        <v>35.213000000000001</v>
      </c>
      <c r="Q10" s="338">
        <f t="shared" si="7"/>
        <v>5.6988093561913651</v>
      </c>
      <c r="R10" s="337">
        <v>38.027000000000001</v>
      </c>
      <c r="S10" s="338">
        <f t="shared" si="8"/>
        <v>5.9552016988462952</v>
      </c>
      <c r="T10" s="337">
        <v>38.110999999999997</v>
      </c>
      <c r="U10" s="338">
        <f t="shared" si="9"/>
        <v>5.810790618815429</v>
      </c>
      <c r="V10" s="337">
        <v>39.158999999999999</v>
      </c>
      <c r="W10" s="338">
        <f t="shared" si="10"/>
        <v>5.6827944505717776</v>
      </c>
      <c r="X10" s="337">
        <v>40.28</v>
      </c>
      <c r="Y10" s="338">
        <f t="shared" si="11"/>
        <v>5.5439101633306391</v>
      </c>
      <c r="Z10" s="337">
        <v>41.718000000000004</v>
      </c>
      <c r="AA10" s="338">
        <f t="shared" si="12"/>
        <v>5.5428448433925119</v>
      </c>
      <c r="AB10" s="339">
        <v>0.73699999999999999</v>
      </c>
      <c r="AC10" s="339">
        <v>44.612000000000002</v>
      </c>
      <c r="AD10" s="340">
        <f t="shared" si="13"/>
        <v>45.349000000000004</v>
      </c>
      <c r="AE10" s="341">
        <v>0.54</v>
      </c>
      <c r="AF10" s="339">
        <v>44.959000000000003</v>
      </c>
      <c r="AG10" s="340">
        <f t="shared" si="18"/>
        <v>45.499000000000002</v>
      </c>
      <c r="AH10" s="342">
        <v>0.42099999999999999</v>
      </c>
      <c r="AI10" s="339">
        <v>42.13</v>
      </c>
      <c r="AJ10" s="340">
        <f t="shared" si="19"/>
        <v>42.551000000000002</v>
      </c>
      <c r="AK10" s="342">
        <v>0.31</v>
      </c>
      <c r="AL10" s="339">
        <v>41.649000000000001</v>
      </c>
      <c r="AM10" s="340">
        <f t="shared" si="20"/>
        <v>41.959000000000003</v>
      </c>
      <c r="AN10" s="343">
        <v>0.317</v>
      </c>
      <c r="AO10" s="339">
        <v>41.222000000000001</v>
      </c>
      <c r="AP10" s="340">
        <v>41.539000000000001</v>
      </c>
      <c r="AQ10" s="342">
        <v>0.26800000000000002</v>
      </c>
      <c r="AR10" s="341">
        <v>39.670999999999999</v>
      </c>
      <c r="AS10" s="344">
        <f t="shared" si="21"/>
        <v>39.939</v>
      </c>
      <c r="AT10" s="342">
        <v>0.23200000000000001</v>
      </c>
      <c r="AU10" s="341">
        <v>41.008000000000003</v>
      </c>
      <c r="AV10" s="344">
        <v>41.24</v>
      </c>
      <c r="AW10" s="343">
        <v>0.2</v>
      </c>
      <c r="AX10" s="339">
        <v>42.106000000000002</v>
      </c>
      <c r="AY10" s="344">
        <f t="shared" si="14"/>
        <v>42.306000000000004</v>
      </c>
      <c r="AZ10" s="341">
        <v>0.115</v>
      </c>
      <c r="BA10" s="341">
        <v>39.377000000000002</v>
      </c>
      <c r="BB10" s="344">
        <f t="shared" si="15"/>
        <v>39.492000000000004</v>
      </c>
      <c r="BC10" s="342">
        <v>0.27900000000000003</v>
      </c>
      <c r="BD10" s="341">
        <v>48.463999999999999</v>
      </c>
      <c r="BE10" s="344">
        <f t="shared" si="16"/>
        <v>48.743000000000002</v>
      </c>
      <c r="BF10" s="351">
        <v>0.19600000000000001</v>
      </c>
      <c r="BG10" s="352">
        <v>55.353999999999999</v>
      </c>
      <c r="BH10" s="184">
        <f t="shared" si="17"/>
        <v>55.55</v>
      </c>
      <c r="BI10" s="182">
        <v>0.17699999999999999</v>
      </c>
      <c r="BJ10" s="190">
        <v>52.399000000000001</v>
      </c>
      <c r="BK10" s="184">
        <v>52.576000000000001</v>
      </c>
      <c r="BL10" s="353" t="e">
        <f>SUMIF([3]DT12!$B$6:$B$81,$A10,[3]DT12!AP$6:AP$81)</f>
        <v>#VALUE!</v>
      </c>
      <c r="BM10" s="352" t="e">
        <f>SUMIF([3]DT12!$B$6:$B$81,$A10,[3]DT12!AQ$6:AQ$81)</f>
        <v>#VALUE!</v>
      </c>
      <c r="BN10" s="354" t="e">
        <f t="shared" si="22"/>
        <v>#VALUE!</v>
      </c>
    </row>
    <row r="11" spans="1:66" s="313" customFormat="1">
      <c r="A11" s="350" t="s">
        <v>42</v>
      </c>
      <c r="B11" s="337">
        <v>46.91</v>
      </c>
      <c r="C11" s="338">
        <f t="shared" si="0"/>
        <v>9.6957546194865856</v>
      </c>
      <c r="D11" s="337">
        <v>47.814</v>
      </c>
      <c r="E11" s="338">
        <f t="shared" si="1"/>
        <v>9.5772808486431469</v>
      </c>
      <c r="F11" s="337">
        <v>52.274000000000001</v>
      </c>
      <c r="G11" s="338">
        <f t="shared" si="2"/>
        <v>9.8078543137560246</v>
      </c>
      <c r="H11" s="337">
        <v>56.124000000000002</v>
      </c>
      <c r="I11" s="338">
        <f t="shared" si="3"/>
        <v>9.927266552519491</v>
      </c>
      <c r="J11" s="337">
        <v>58.332999999999998</v>
      </c>
      <c r="K11" s="338">
        <f t="shared" si="4"/>
        <v>9.9802560891316112</v>
      </c>
      <c r="L11" s="337">
        <v>56.93</v>
      </c>
      <c r="M11" s="338">
        <f t="shared" si="5"/>
        <v>10.079299459474774</v>
      </c>
      <c r="N11" s="337">
        <v>57.576000000000001</v>
      </c>
      <c r="O11" s="338">
        <f t="shared" si="6"/>
        <v>9.6817805759024971</v>
      </c>
      <c r="P11" s="337">
        <v>60.442999999999998</v>
      </c>
      <c r="Q11" s="338">
        <f t="shared" si="7"/>
        <v>9.7819877294259125</v>
      </c>
      <c r="R11" s="337">
        <v>64.86</v>
      </c>
      <c r="S11" s="338">
        <f t="shared" si="8"/>
        <v>10.15737192487366</v>
      </c>
      <c r="T11" s="337">
        <v>68.266999999999996</v>
      </c>
      <c r="U11" s="338">
        <f t="shared" si="9"/>
        <v>10.408681041554219</v>
      </c>
      <c r="V11" s="337">
        <v>70.872</v>
      </c>
      <c r="W11" s="338">
        <f t="shared" si="10"/>
        <v>10.285017704765776</v>
      </c>
      <c r="X11" s="337">
        <v>78.760000000000005</v>
      </c>
      <c r="Y11" s="338">
        <f t="shared" si="11"/>
        <v>10.840078561666365</v>
      </c>
      <c r="Z11" s="337">
        <v>81.161000000000001</v>
      </c>
      <c r="AA11" s="338">
        <f t="shared" si="12"/>
        <v>10.783422751200433</v>
      </c>
      <c r="AB11" s="339">
        <v>0.14799999999999999</v>
      </c>
      <c r="AC11" s="339">
        <v>102.846</v>
      </c>
      <c r="AD11" s="340">
        <f t="shared" si="13"/>
        <v>102.994</v>
      </c>
      <c r="AE11" s="341">
        <v>0.15</v>
      </c>
      <c r="AF11" s="339">
        <v>105.72</v>
      </c>
      <c r="AG11" s="340">
        <f t="shared" si="18"/>
        <v>105.87</v>
      </c>
      <c r="AH11" s="342">
        <v>0.16300000000000001</v>
      </c>
      <c r="AI11" s="339">
        <v>108.837</v>
      </c>
      <c r="AJ11" s="340">
        <f t="shared" si="19"/>
        <v>109</v>
      </c>
      <c r="AK11" s="342">
        <v>0.189</v>
      </c>
      <c r="AL11" s="339">
        <v>114.95</v>
      </c>
      <c r="AM11" s="340">
        <f t="shared" si="20"/>
        <v>115.139</v>
      </c>
      <c r="AN11" s="343">
        <v>0.155</v>
      </c>
      <c r="AO11" s="339">
        <v>121.818</v>
      </c>
      <c r="AP11" s="340">
        <v>121.973</v>
      </c>
      <c r="AQ11" s="342">
        <v>0.123</v>
      </c>
      <c r="AR11" s="341">
        <v>121.88999999999999</v>
      </c>
      <c r="AS11" s="344">
        <f t="shared" si="21"/>
        <v>122.01299999999999</v>
      </c>
      <c r="AT11" s="342">
        <v>0.125</v>
      </c>
      <c r="AU11" s="341">
        <v>123.084</v>
      </c>
      <c r="AV11" s="344">
        <v>123.209</v>
      </c>
      <c r="AW11" s="343">
        <v>0.108</v>
      </c>
      <c r="AX11" s="339">
        <v>136.47399999999999</v>
      </c>
      <c r="AY11" s="344">
        <f t="shared" si="14"/>
        <v>136.58199999999999</v>
      </c>
      <c r="AZ11" s="341">
        <v>1.4999999999999999E-2</v>
      </c>
      <c r="BA11" s="341">
        <v>133.52700000000002</v>
      </c>
      <c r="BB11" s="344">
        <f t="shared" si="15"/>
        <v>133.542</v>
      </c>
      <c r="BC11" s="342">
        <v>0.30299999999999999</v>
      </c>
      <c r="BD11" s="341">
        <v>145.435</v>
      </c>
      <c r="BE11" s="344">
        <f t="shared" si="16"/>
        <v>145.738</v>
      </c>
      <c r="BF11" s="351">
        <v>0.249</v>
      </c>
      <c r="BG11" s="352">
        <v>150.733</v>
      </c>
      <c r="BH11" s="184">
        <f t="shared" si="17"/>
        <v>150.982</v>
      </c>
      <c r="BI11" s="182">
        <v>0.16900000000000001</v>
      </c>
      <c r="BJ11" s="190">
        <v>138.04900000000001</v>
      </c>
      <c r="BK11" s="184">
        <v>138.21800000000002</v>
      </c>
      <c r="BL11" s="353" t="e">
        <f>SUMIF([3]DT12!$B$6:$B$81,$A11,[3]DT12!AP$6:AP$81)</f>
        <v>#VALUE!</v>
      </c>
      <c r="BM11" s="352" t="e">
        <f>SUMIF([3]DT12!$B$6:$B$81,$A11,[3]DT12!AQ$6:AQ$81)</f>
        <v>#VALUE!</v>
      </c>
      <c r="BN11" s="354" t="e">
        <f t="shared" si="22"/>
        <v>#VALUE!</v>
      </c>
    </row>
    <row r="12" spans="1:66" s="313" customFormat="1">
      <c r="A12" s="358" t="s">
        <v>294</v>
      </c>
      <c r="B12" s="337"/>
      <c r="C12" s="338"/>
      <c r="D12" s="337"/>
      <c r="E12" s="338"/>
      <c r="F12" s="337"/>
      <c r="G12" s="338"/>
      <c r="H12" s="337"/>
      <c r="I12" s="338"/>
      <c r="J12" s="337"/>
      <c r="K12" s="338"/>
      <c r="L12" s="337"/>
      <c r="M12" s="338"/>
      <c r="N12" s="337"/>
      <c r="O12" s="338"/>
      <c r="P12" s="337"/>
      <c r="Q12" s="338"/>
      <c r="R12" s="337"/>
      <c r="S12" s="338"/>
      <c r="T12" s="337"/>
      <c r="U12" s="338"/>
      <c r="V12" s="337"/>
      <c r="W12" s="338"/>
      <c r="X12" s="337"/>
      <c r="Y12" s="338"/>
      <c r="Z12" s="337"/>
      <c r="AA12" s="338"/>
      <c r="AB12" s="355"/>
      <c r="AC12" s="339"/>
      <c r="AD12" s="340"/>
      <c r="AE12" s="356"/>
      <c r="AF12" s="339"/>
      <c r="AG12" s="340"/>
      <c r="AH12" s="342"/>
      <c r="AI12" s="339"/>
      <c r="AJ12" s="340"/>
      <c r="AK12" s="342"/>
      <c r="AL12" s="339"/>
      <c r="AM12" s="340"/>
      <c r="AN12" s="343"/>
      <c r="AO12" s="339"/>
      <c r="AP12" s="340"/>
      <c r="AQ12" s="342"/>
      <c r="AR12" s="341"/>
      <c r="AS12" s="344"/>
      <c r="AT12" s="342"/>
      <c r="AU12" s="341"/>
      <c r="AV12" s="344"/>
      <c r="AW12" s="343"/>
      <c r="AX12" s="339">
        <v>2.1520000000000001</v>
      </c>
      <c r="AY12" s="344">
        <f t="shared" si="14"/>
        <v>2.1520000000000001</v>
      </c>
      <c r="AZ12" s="341"/>
      <c r="BA12" s="341">
        <v>3.464</v>
      </c>
      <c r="BB12" s="344">
        <f t="shared" si="15"/>
        <v>3.464</v>
      </c>
      <c r="BC12" s="342"/>
      <c r="BD12" s="341">
        <v>4.0529999999999999</v>
      </c>
      <c r="BE12" s="344">
        <f t="shared" si="16"/>
        <v>4.0529999999999999</v>
      </c>
      <c r="BF12" s="351"/>
      <c r="BG12" s="352">
        <v>3.2</v>
      </c>
      <c r="BH12" s="184">
        <f t="shared" si="17"/>
        <v>3.2</v>
      </c>
      <c r="BI12" s="189"/>
      <c r="BJ12" s="190">
        <v>2.8879999999999999</v>
      </c>
      <c r="BK12" s="184">
        <v>2.8879999999999999</v>
      </c>
      <c r="BL12" s="353"/>
      <c r="BM12" s="352" t="e">
        <f>SUMIF([3]DT12!$B$6:$B$81,$A12,[3]DT12!AQ$6:AQ$81)</f>
        <v>#VALUE!</v>
      </c>
      <c r="BN12" s="354" t="e">
        <f>BL12+BM12</f>
        <v>#VALUE!</v>
      </c>
    </row>
    <row r="13" spans="1:66" s="313" customFormat="1">
      <c r="A13" s="359" t="s">
        <v>302</v>
      </c>
      <c r="B13" s="337"/>
      <c r="C13" s="338"/>
      <c r="D13" s="337"/>
      <c r="E13" s="338"/>
      <c r="F13" s="337"/>
      <c r="G13" s="338"/>
      <c r="H13" s="337"/>
      <c r="I13" s="338"/>
      <c r="J13" s="337"/>
      <c r="K13" s="338"/>
      <c r="L13" s="337"/>
      <c r="M13" s="338"/>
      <c r="N13" s="337"/>
      <c r="O13" s="338"/>
      <c r="P13" s="337"/>
      <c r="Q13" s="338"/>
      <c r="R13" s="337"/>
      <c r="S13" s="338"/>
      <c r="T13" s="337"/>
      <c r="U13" s="338"/>
      <c r="V13" s="337"/>
      <c r="W13" s="338"/>
      <c r="X13" s="337"/>
      <c r="Y13" s="338"/>
      <c r="Z13" s="337"/>
      <c r="AA13" s="338"/>
      <c r="AB13" s="355"/>
      <c r="AC13" s="339"/>
      <c r="AD13" s="340"/>
      <c r="AE13" s="356"/>
      <c r="AF13" s="339"/>
      <c r="AG13" s="340"/>
      <c r="AH13" s="342"/>
      <c r="AI13" s="339"/>
      <c r="AJ13" s="340"/>
      <c r="AK13" s="342"/>
      <c r="AL13" s="339"/>
      <c r="AM13" s="340"/>
      <c r="AN13" s="343"/>
      <c r="AO13" s="339"/>
      <c r="AP13" s="340"/>
      <c r="AQ13" s="342"/>
      <c r="AR13" s="341"/>
      <c r="AS13" s="344"/>
      <c r="AT13" s="342"/>
      <c r="AU13" s="341"/>
      <c r="AV13" s="344"/>
      <c r="AW13" s="343"/>
      <c r="AX13" s="339"/>
      <c r="AY13" s="344">
        <f t="shared" si="14"/>
        <v>0</v>
      </c>
      <c r="AZ13" s="341"/>
      <c r="BA13" s="341">
        <v>0.65400000000000003</v>
      </c>
      <c r="BB13" s="344">
        <f t="shared" si="15"/>
        <v>0.65400000000000003</v>
      </c>
      <c r="BC13" s="342"/>
      <c r="BD13" s="341">
        <v>1.3009999999999999</v>
      </c>
      <c r="BE13" s="344">
        <f t="shared" si="16"/>
        <v>1.3009999999999999</v>
      </c>
      <c r="BF13" s="351"/>
      <c r="BG13" s="352">
        <v>1.839</v>
      </c>
      <c r="BH13" s="184">
        <f t="shared" si="17"/>
        <v>1.839</v>
      </c>
      <c r="BI13" s="189"/>
      <c r="BJ13" s="190">
        <v>0.82099999999999995</v>
      </c>
      <c r="BK13" s="184">
        <v>0.82099999999999995</v>
      </c>
      <c r="BL13" s="353"/>
      <c r="BM13" s="352" t="e">
        <f>SUMIF([3]DT12!$B$6:$B$81,$A13,[3]DT12!AQ$6:AQ$81)</f>
        <v>#VALUE!</v>
      </c>
      <c r="BN13" s="354" t="e">
        <f>BL13+BM13</f>
        <v>#VALUE!</v>
      </c>
    </row>
    <row r="14" spans="1:66" s="313" customFormat="1">
      <c r="A14" s="350" t="s">
        <v>43</v>
      </c>
      <c r="B14" s="337">
        <v>24.004000000000001</v>
      </c>
      <c r="C14" s="338">
        <f>100*B14/B$46</f>
        <v>4.9613492621222761</v>
      </c>
      <c r="D14" s="337">
        <v>26.925000000000001</v>
      </c>
      <c r="E14" s="338">
        <f>100*D14/D$46</f>
        <v>5.3931544495276853</v>
      </c>
      <c r="F14" s="337">
        <v>34.359000000000002</v>
      </c>
      <c r="G14" s="338">
        <f>100*F14/F$46</f>
        <v>6.4465712661426959</v>
      </c>
      <c r="H14" s="337">
        <v>37.215000000000003</v>
      </c>
      <c r="I14" s="338">
        <f>100*H14/H$46</f>
        <v>6.5826246303188096</v>
      </c>
      <c r="J14" s="337">
        <v>43.296999999999997</v>
      </c>
      <c r="K14" s="338">
        <f>100*J14/J$46</f>
        <v>7.4077305794512771</v>
      </c>
      <c r="L14" s="337">
        <v>41.76</v>
      </c>
      <c r="M14" s="338">
        <f>100*L14/L$46</f>
        <v>7.3934928056853417</v>
      </c>
      <c r="N14" s="337">
        <v>42.08</v>
      </c>
      <c r="O14" s="338">
        <f>100*N14/N$46</f>
        <v>7.0760269319504143</v>
      </c>
      <c r="P14" s="337">
        <v>47.302</v>
      </c>
      <c r="Q14" s="338">
        <f>100*P14/P$46</f>
        <v>7.6552716373658569</v>
      </c>
      <c r="R14" s="337">
        <v>49.03</v>
      </c>
      <c r="S14" s="338">
        <f>100*R14/R$46</f>
        <v>7.6783217002244148</v>
      </c>
      <c r="T14" s="337">
        <v>51.36</v>
      </c>
      <c r="U14" s="338">
        <f>100*T14/T$46</f>
        <v>7.8308678906971849</v>
      </c>
      <c r="V14" s="337">
        <v>59.351999999999997</v>
      </c>
      <c r="W14" s="338">
        <f>100*V14/V$46</f>
        <v>8.6132234283392357</v>
      </c>
      <c r="X14" s="337">
        <v>66.290000000000006</v>
      </c>
      <c r="Y14" s="338">
        <f>100*X14/X$46</f>
        <v>9.1237786675071533</v>
      </c>
      <c r="Z14" s="337">
        <v>68.213999999999999</v>
      </c>
      <c r="AA14" s="338">
        <f>100*Z14/Z$46</f>
        <v>9.0632249424032008</v>
      </c>
      <c r="AB14" s="355">
        <v>0</v>
      </c>
      <c r="AC14" s="339">
        <v>91.284000000000006</v>
      </c>
      <c r="AD14" s="340">
        <f>AB14+AC14</f>
        <v>91.284000000000006</v>
      </c>
      <c r="AE14" s="356">
        <v>0</v>
      </c>
      <c r="AF14" s="339">
        <v>98.147000000000006</v>
      </c>
      <c r="AG14" s="340">
        <f t="shared" si="18"/>
        <v>98.147000000000006</v>
      </c>
      <c r="AH14" s="342">
        <v>0</v>
      </c>
      <c r="AI14" s="339">
        <v>102.087</v>
      </c>
      <c r="AJ14" s="340">
        <f t="shared" si="19"/>
        <v>102.087</v>
      </c>
      <c r="AK14" s="342"/>
      <c r="AL14" s="339">
        <v>102.521</v>
      </c>
      <c r="AM14" s="340">
        <f t="shared" si="20"/>
        <v>102.521</v>
      </c>
      <c r="AN14" s="343"/>
      <c r="AO14" s="339">
        <v>111.959</v>
      </c>
      <c r="AP14" s="340">
        <v>111.959</v>
      </c>
      <c r="AQ14" s="342"/>
      <c r="AR14" s="341">
        <v>114.342</v>
      </c>
      <c r="AS14" s="344">
        <f t="shared" si="21"/>
        <v>114.342</v>
      </c>
      <c r="AT14" s="342"/>
      <c r="AU14" s="341">
        <v>122.996</v>
      </c>
      <c r="AV14" s="344">
        <v>122.996</v>
      </c>
      <c r="AW14" s="343"/>
      <c r="AX14" s="339">
        <v>140.214</v>
      </c>
      <c r="AY14" s="344">
        <f t="shared" si="14"/>
        <v>140.214</v>
      </c>
      <c r="AZ14" s="341"/>
      <c r="BA14" s="341">
        <v>143.00700000000001</v>
      </c>
      <c r="BB14" s="344">
        <f t="shared" si="15"/>
        <v>143.00700000000001</v>
      </c>
      <c r="BC14" s="342"/>
      <c r="BD14" s="341">
        <v>138.262</v>
      </c>
      <c r="BE14" s="344">
        <f t="shared" si="16"/>
        <v>138.262</v>
      </c>
      <c r="BF14" s="351"/>
      <c r="BG14" s="352">
        <v>142.303</v>
      </c>
      <c r="BH14" s="184">
        <f t="shared" si="17"/>
        <v>142.303</v>
      </c>
      <c r="BI14" s="189"/>
      <c r="BJ14" s="190">
        <v>134.01400000000001</v>
      </c>
      <c r="BK14" s="184">
        <v>134.01400000000001</v>
      </c>
      <c r="BL14" s="353"/>
      <c r="BM14" s="352" t="e">
        <f>SUMIF([3]DT12!$B$6:$B$81,$A14,[3]DT12!AQ$6:AQ$81)</f>
        <v>#VALUE!</v>
      </c>
      <c r="BN14" s="354" t="e">
        <f t="shared" si="22"/>
        <v>#VALUE!</v>
      </c>
    </row>
    <row r="15" spans="1:66" s="313" customFormat="1">
      <c r="A15" s="360" t="s">
        <v>44</v>
      </c>
      <c r="B15" s="337">
        <v>0.752</v>
      </c>
      <c r="C15" s="338">
        <f>100*B15/B$46</f>
        <v>0.15542970526228761</v>
      </c>
      <c r="D15" s="337">
        <v>0.83399999999999996</v>
      </c>
      <c r="E15" s="338">
        <f>100*D15/D$46</f>
        <v>0.16705258350626145</v>
      </c>
      <c r="F15" s="337">
        <v>1.028</v>
      </c>
      <c r="G15" s="338">
        <f>100*F15/F$46</f>
        <v>0.19287741964535321</v>
      </c>
      <c r="H15" s="337">
        <v>0.82799999999999996</v>
      </c>
      <c r="I15" s="338">
        <f>100*H15/H$46</f>
        <v>0.146457428292462</v>
      </c>
      <c r="J15" s="337">
        <v>0.56799999999999995</v>
      </c>
      <c r="K15" s="338">
        <f>100*J15/J$46</f>
        <v>9.7179734603513535E-2</v>
      </c>
      <c r="L15" s="337">
        <v>0.70099999999999996</v>
      </c>
      <c r="M15" s="338">
        <f>100*L15/L$46</f>
        <v>0.12411011630233296</v>
      </c>
      <c r="N15" s="337">
        <v>0.82099999999999995</v>
      </c>
      <c r="O15" s="338">
        <f>100*N15/N$46</f>
        <v>0.13805651404779681</v>
      </c>
      <c r="P15" s="337">
        <v>0.76</v>
      </c>
      <c r="Q15" s="338">
        <f>100*P15/P$46</f>
        <v>0.1229970496891897</v>
      </c>
      <c r="R15" s="337">
        <v>0.62</v>
      </c>
      <c r="S15" s="338">
        <f>100*R15/R$46</f>
        <v>9.7094828760741131E-2</v>
      </c>
      <c r="T15" s="337">
        <v>0.64</v>
      </c>
      <c r="U15" s="338">
        <f>100*T15/T$46</f>
        <v>9.7580908295292035E-2</v>
      </c>
      <c r="V15" s="337">
        <v>0.87</v>
      </c>
      <c r="W15" s="338">
        <f>100*V15/V$46</f>
        <v>0.12625529691762932</v>
      </c>
      <c r="X15" s="337">
        <v>0.56799999999999995</v>
      </c>
      <c r="Y15" s="338">
        <f>100*X15/X$46</f>
        <v>7.8176290287284095E-2</v>
      </c>
      <c r="Z15" s="337">
        <v>1.17</v>
      </c>
      <c r="AA15" s="338">
        <f>100*Z15/Z$46</f>
        <v>0.15545156687207531</v>
      </c>
      <c r="AB15" s="355">
        <v>0</v>
      </c>
      <c r="AC15" s="339">
        <v>0.83499999999999996</v>
      </c>
      <c r="AD15" s="340">
        <f>AB15+AC15</f>
        <v>0.83499999999999996</v>
      </c>
      <c r="AE15" s="356">
        <v>0</v>
      </c>
      <c r="AF15" s="339">
        <v>1.071</v>
      </c>
      <c r="AG15" s="340">
        <f t="shared" si="18"/>
        <v>1.071</v>
      </c>
      <c r="AH15" s="342">
        <v>0</v>
      </c>
      <c r="AI15" s="339">
        <v>1.1020000000000001</v>
      </c>
      <c r="AJ15" s="340">
        <f t="shared" si="19"/>
        <v>1.1020000000000001</v>
      </c>
      <c r="AK15" s="342"/>
      <c r="AL15" s="339">
        <v>0.8</v>
      </c>
      <c r="AM15" s="340">
        <f t="shared" si="20"/>
        <v>0.8</v>
      </c>
      <c r="AN15" s="343"/>
      <c r="AO15" s="339">
        <v>0.61799999999999999</v>
      </c>
      <c r="AP15" s="340">
        <v>0.61799999999999999</v>
      </c>
      <c r="AQ15" s="342"/>
      <c r="AR15" s="341">
        <v>0.57699999999999996</v>
      </c>
      <c r="AS15" s="344">
        <f t="shared" si="21"/>
        <v>0.57699999999999996</v>
      </c>
      <c r="AT15" s="342"/>
      <c r="AU15" s="341">
        <v>0.73299999999999998</v>
      </c>
      <c r="AV15" s="344">
        <v>0.73299999999999998</v>
      </c>
      <c r="AW15" s="343"/>
      <c r="AX15" s="339">
        <v>0.34200000000000003</v>
      </c>
      <c r="AY15" s="344">
        <f t="shared" si="14"/>
        <v>0.34200000000000003</v>
      </c>
      <c r="AZ15" s="341"/>
      <c r="BA15" s="341">
        <v>0.77700000000000002</v>
      </c>
      <c r="BB15" s="344">
        <f t="shared" si="15"/>
        <v>0.77700000000000002</v>
      </c>
      <c r="BC15" s="342"/>
      <c r="BD15" s="341">
        <v>0.89500000000000002</v>
      </c>
      <c r="BE15" s="344">
        <f t="shared" si="16"/>
        <v>0.89500000000000002</v>
      </c>
      <c r="BF15" s="361"/>
      <c r="BG15" s="362">
        <v>0.754</v>
      </c>
      <c r="BH15" s="363">
        <f t="shared" si="17"/>
        <v>0.754</v>
      </c>
      <c r="BI15" s="364"/>
      <c r="BJ15" s="365">
        <v>0.56200000000000006</v>
      </c>
      <c r="BK15" s="363">
        <v>0.56200000000000006</v>
      </c>
      <c r="BL15" s="366"/>
      <c r="BM15" s="362" t="e">
        <f>SUMIF([3]DT12!$B$6:$B$81,$A15,[3]DT12!AQ$6:AQ$81)</f>
        <v>#VALUE!</v>
      </c>
      <c r="BN15" s="367" t="e">
        <f t="shared" si="22"/>
        <v>#VALUE!</v>
      </c>
    </row>
    <row r="16" spans="1:66" s="335" customFormat="1">
      <c r="A16" s="368" t="s">
        <v>400</v>
      </c>
      <c r="B16" s="369">
        <f t="shared" ref="B16:AG16" si="23">SUM(B6:B15)</f>
        <v>213.304</v>
      </c>
      <c r="C16" s="370">
        <f t="shared" si="23"/>
        <v>44.087470546897606</v>
      </c>
      <c r="D16" s="369">
        <f t="shared" si="23"/>
        <v>219.48600000000002</v>
      </c>
      <c r="E16" s="370">
        <f t="shared" si="23"/>
        <v>43.96367307368741</v>
      </c>
      <c r="F16" s="369">
        <f t="shared" si="23"/>
        <v>236.28899999999999</v>
      </c>
      <c r="G16" s="370">
        <f t="shared" si="23"/>
        <v>44.333475302121471</v>
      </c>
      <c r="H16" s="369">
        <f t="shared" si="23"/>
        <v>248.15100000000001</v>
      </c>
      <c r="I16" s="370">
        <f t="shared" si="23"/>
        <v>43.893185130679647</v>
      </c>
      <c r="J16" s="369">
        <f t="shared" si="23"/>
        <v>257.71999999999997</v>
      </c>
      <c r="K16" s="370">
        <f t="shared" si="23"/>
        <v>44.093593665523777</v>
      </c>
      <c r="L16" s="369">
        <f t="shared" si="23"/>
        <v>249.63399999999999</v>
      </c>
      <c r="M16" s="370">
        <f t="shared" si="23"/>
        <v>44.197011088468741</v>
      </c>
      <c r="N16" s="369">
        <f t="shared" si="23"/>
        <v>261.303</v>
      </c>
      <c r="O16" s="370">
        <f t="shared" si="23"/>
        <v>43.939806687249032</v>
      </c>
      <c r="P16" s="369">
        <f t="shared" si="23"/>
        <v>271.86399999999998</v>
      </c>
      <c r="Q16" s="370">
        <f t="shared" si="23"/>
        <v>43.997986732502461</v>
      </c>
      <c r="R16" s="369">
        <f t="shared" si="23"/>
        <v>280.78499999999997</v>
      </c>
      <c r="S16" s="370">
        <f t="shared" si="23"/>
        <v>43.972212086426929</v>
      </c>
      <c r="T16" s="369">
        <f t="shared" si="23"/>
        <v>287.87299999999999</v>
      </c>
      <c r="U16" s="370">
        <f t="shared" si="23"/>
        <v>43.892045021391567</v>
      </c>
      <c r="V16" s="369">
        <f t="shared" si="23"/>
        <v>303.23499999999996</v>
      </c>
      <c r="W16" s="370">
        <f t="shared" si="23"/>
        <v>44.005775817031413</v>
      </c>
      <c r="X16" s="369">
        <f t="shared" si="23"/>
        <v>320.50600000000003</v>
      </c>
      <c r="Y16" s="370">
        <f t="shared" si="23"/>
        <v>44.11262340636668</v>
      </c>
      <c r="Z16" s="369">
        <f t="shared" si="23"/>
        <v>332.721</v>
      </c>
      <c r="AA16" s="370">
        <f t="shared" si="23"/>
        <v>44.206838274567325</v>
      </c>
      <c r="AB16" s="369">
        <f t="shared" si="23"/>
        <v>27.510999999999996</v>
      </c>
      <c r="AC16" s="369">
        <f t="shared" si="23"/>
        <v>373.21299999999997</v>
      </c>
      <c r="AD16" s="369">
        <f t="shared" si="23"/>
        <v>400.72399999999999</v>
      </c>
      <c r="AE16" s="369">
        <f t="shared" si="23"/>
        <v>34.131999999999998</v>
      </c>
      <c r="AF16" s="369">
        <f t="shared" si="23"/>
        <v>381.08800000000002</v>
      </c>
      <c r="AG16" s="369">
        <f t="shared" si="23"/>
        <v>415.21999999999997</v>
      </c>
      <c r="AH16" s="369">
        <f t="shared" ref="AH16:BN16" si="24">SUM(AH6:AH15)</f>
        <v>40.862999999999992</v>
      </c>
      <c r="AI16" s="369">
        <f t="shared" si="24"/>
        <v>382.91799999999995</v>
      </c>
      <c r="AJ16" s="369">
        <f t="shared" si="24"/>
        <v>423.78099999999995</v>
      </c>
      <c r="AK16" s="369">
        <f t="shared" si="24"/>
        <v>43.431000000000004</v>
      </c>
      <c r="AL16" s="369">
        <f t="shared" si="24"/>
        <v>389.18700000000001</v>
      </c>
      <c r="AM16" s="369">
        <f t="shared" si="24"/>
        <v>432.61799999999999</v>
      </c>
      <c r="AN16" s="369">
        <f t="shared" si="24"/>
        <v>47.963999999999999</v>
      </c>
      <c r="AO16" s="369">
        <f t="shared" si="24"/>
        <v>416.57300000000004</v>
      </c>
      <c r="AP16" s="369">
        <f t="shared" si="24"/>
        <v>464.53699999999998</v>
      </c>
      <c r="AQ16" s="369">
        <f t="shared" si="24"/>
        <v>50.610999999999997</v>
      </c>
      <c r="AR16" s="369">
        <f t="shared" si="24"/>
        <v>420.30499999999995</v>
      </c>
      <c r="AS16" s="369">
        <f t="shared" si="24"/>
        <v>470.916</v>
      </c>
      <c r="AT16" s="369">
        <f t="shared" si="24"/>
        <v>49.844999999999999</v>
      </c>
      <c r="AU16" s="369">
        <f t="shared" si="24"/>
        <v>439.01500000000004</v>
      </c>
      <c r="AV16" s="369">
        <f t="shared" si="24"/>
        <v>488.86</v>
      </c>
      <c r="AW16" s="369">
        <f t="shared" si="24"/>
        <v>52.038000000000004</v>
      </c>
      <c r="AX16" s="369">
        <f t="shared" si="24"/>
        <v>482.04499999999996</v>
      </c>
      <c r="AY16" s="369">
        <f t="shared" si="24"/>
        <v>534.08299999999997</v>
      </c>
      <c r="AZ16" s="369">
        <f t="shared" si="24"/>
        <v>52.277000000000001</v>
      </c>
      <c r="BA16" s="369">
        <f t="shared" si="24"/>
        <v>490.70400000000001</v>
      </c>
      <c r="BB16" s="369">
        <f t="shared" si="24"/>
        <v>542.98100000000011</v>
      </c>
      <c r="BC16" s="369">
        <f t="shared" si="24"/>
        <v>38.752000000000002</v>
      </c>
      <c r="BD16" s="369">
        <f t="shared" si="24"/>
        <v>541.25800000000004</v>
      </c>
      <c r="BE16" s="369">
        <f t="shared" si="24"/>
        <v>580.01</v>
      </c>
      <c r="BF16" s="369">
        <f t="shared" si="24"/>
        <v>36.314</v>
      </c>
      <c r="BG16" s="369">
        <f t="shared" si="24"/>
        <v>571.63900000000001</v>
      </c>
      <c r="BH16" s="369">
        <f t="shared" si="24"/>
        <v>607.95300000000009</v>
      </c>
      <c r="BI16" s="369">
        <v>44.15</v>
      </c>
      <c r="BJ16" s="369">
        <v>537.49000000000012</v>
      </c>
      <c r="BK16" s="369">
        <v>581.64</v>
      </c>
      <c r="BL16" s="369" t="e">
        <f t="shared" si="24"/>
        <v>#VALUE!</v>
      </c>
      <c r="BM16" s="369" t="e">
        <f t="shared" si="24"/>
        <v>#VALUE!</v>
      </c>
      <c r="BN16" s="371" t="e">
        <f t="shared" si="24"/>
        <v>#VALUE!</v>
      </c>
    </row>
    <row r="17" spans="1:66" s="313" customFormat="1">
      <c r="A17" s="372" t="s">
        <v>45</v>
      </c>
      <c r="B17" s="337">
        <v>24.603999999999999</v>
      </c>
      <c r="C17" s="338">
        <f>100*B17/B$46</f>
        <v>5.0853623248315483</v>
      </c>
      <c r="D17" s="337">
        <v>25.038</v>
      </c>
      <c r="E17" s="338">
        <f>100*D17/D$46</f>
        <v>5.0151829566304249</v>
      </c>
      <c r="F17" s="337">
        <v>24.872</v>
      </c>
      <c r="G17" s="338">
        <f>100*F17/F$46</f>
        <v>4.6665828613027482</v>
      </c>
      <c r="H17" s="337">
        <v>28.818999999999999</v>
      </c>
      <c r="I17" s="338">
        <f>100*H17/H$46</f>
        <v>5.0975321569570813</v>
      </c>
      <c r="J17" s="337">
        <v>29.018000000000001</v>
      </c>
      <c r="K17" s="338">
        <f>100*J17/J$46</f>
        <v>4.9647210188816127</v>
      </c>
      <c r="L17" s="337">
        <v>26.712</v>
      </c>
      <c r="M17" s="338">
        <f>100*L17/L$46</f>
        <v>4.729285915360796</v>
      </c>
      <c r="N17" s="337">
        <v>29.745000000000001</v>
      </c>
      <c r="O17" s="338">
        <f>100*N17/N$46</f>
        <v>5.0018160905623832</v>
      </c>
      <c r="P17" s="337">
        <v>30.314</v>
      </c>
      <c r="Q17" s="338">
        <f>100*P17/P$46</f>
        <v>4.9059639003659168</v>
      </c>
      <c r="R17" s="337">
        <v>31.042999999999999</v>
      </c>
      <c r="S17" s="338">
        <f>100*R17/R$46</f>
        <v>4.8614754342253006</v>
      </c>
      <c r="T17" s="337">
        <v>33.366999999999997</v>
      </c>
      <c r="U17" s="338">
        <f>100*T17/T$46</f>
        <v>5.0874721360765767</v>
      </c>
      <c r="V17" s="337">
        <v>33.829000000000001</v>
      </c>
      <c r="W17" s="338">
        <f>100*V17/V$46</f>
        <v>4.9092993556626237</v>
      </c>
      <c r="X17" s="337">
        <v>34.707000000000001</v>
      </c>
      <c r="Y17" s="338">
        <f>100*X17/X$46</f>
        <v>4.7768741320436074</v>
      </c>
      <c r="Z17" s="337">
        <v>35.320999999999998</v>
      </c>
      <c r="AA17" s="338">
        <f>100*Z17/Z$46</f>
        <v>4.6929100799047632</v>
      </c>
      <c r="AB17" s="355">
        <v>0</v>
      </c>
      <c r="AC17" s="339">
        <v>44.41</v>
      </c>
      <c r="AD17" s="340">
        <f t="shared" ref="AD17:AD22" si="25">AB17+AC17</f>
        <v>44.41</v>
      </c>
      <c r="AE17" s="356">
        <v>0</v>
      </c>
      <c r="AF17" s="339">
        <v>49.265999999999998</v>
      </c>
      <c r="AG17" s="340">
        <f t="shared" si="18"/>
        <v>49.265999999999998</v>
      </c>
      <c r="AH17" s="357">
        <v>0</v>
      </c>
      <c r="AI17" s="339">
        <v>50.045999999999999</v>
      </c>
      <c r="AJ17" s="340">
        <f t="shared" ref="AJ17:AJ22" si="26">AH17+AI17</f>
        <v>50.045999999999999</v>
      </c>
      <c r="AK17" s="342"/>
      <c r="AL17" s="339">
        <v>51.389000000000003</v>
      </c>
      <c r="AM17" s="340">
        <f t="shared" ref="AM17:AM22" si="27">AK17+AL17</f>
        <v>51.389000000000003</v>
      </c>
      <c r="AN17" s="343"/>
      <c r="AO17" s="339">
        <v>52.024999999999999</v>
      </c>
      <c r="AP17" s="340">
        <v>52.024999999999999</v>
      </c>
      <c r="AQ17" s="342"/>
      <c r="AR17" s="341">
        <v>47.892000000000003</v>
      </c>
      <c r="AS17" s="344">
        <f t="shared" ref="AS17:AS23" si="28">AQ17+AR17</f>
        <v>47.892000000000003</v>
      </c>
      <c r="AT17" s="342"/>
      <c r="AU17" s="341">
        <v>52.661999999999999</v>
      </c>
      <c r="AV17" s="344">
        <v>52.661999999999999</v>
      </c>
      <c r="AW17" s="343"/>
      <c r="AX17" s="339">
        <v>58.686999999999998</v>
      </c>
      <c r="AY17" s="344">
        <f t="shared" ref="AY17:AY23" si="29">AW17+AX17</f>
        <v>58.686999999999998</v>
      </c>
      <c r="AZ17" s="341"/>
      <c r="BA17" s="341">
        <v>60.790999999999997</v>
      </c>
      <c r="BB17" s="344">
        <f t="shared" ref="BB17:BB23" si="30">AZ17+BA17</f>
        <v>60.790999999999997</v>
      </c>
      <c r="BC17" s="342"/>
      <c r="BD17" s="341">
        <v>64.623000000000005</v>
      </c>
      <c r="BE17" s="344">
        <f t="shared" ref="BE17:BE23" si="31">BC17+BD17</f>
        <v>64.623000000000005</v>
      </c>
      <c r="BF17" s="373"/>
      <c r="BG17" s="374">
        <v>67.668999999999997</v>
      </c>
      <c r="BH17" s="181">
        <f t="shared" ref="BH17:BH30" si="32">BF17+BG17</f>
        <v>67.668999999999997</v>
      </c>
      <c r="BI17" s="375"/>
      <c r="BJ17" s="376">
        <v>62.465000000000003</v>
      </c>
      <c r="BK17" s="181">
        <v>62.465000000000003</v>
      </c>
      <c r="BL17" s="377"/>
      <c r="BM17" s="374" t="e">
        <f>SUMIF([3]DT12!$B$6:$B$81,$A17,[3]DT12!AQ$6:AQ$81)</f>
        <v>#VALUE!</v>
      </c>
      <c r="BN17" s="378" t="e">
        <f t="shared" ref="BN17:BN30" si="33">BL17+BM17</f>
        <v>#VALUE!</v>
      </c>
    </row>
    <row r="18" spans="1:66" s="313" customFormat="1">
      <c r="A18" s="350" t="s">
        <v>51</v>
      </c>
      <c r="B18" s="337">
        <v>1.9E-2</v>
      </c>
      <c r="C18" s="338">
        <f>100*B18/B$46</f>
        <v>3.9270803191269474E-3</v>
      </c>
      <c r="D18" s="337">
        <v>2.1999999999999999E-2</v>
      </c>
      <c r="E18" s="338">
        <f>100*D18/D$46</f>
        <v>4.4066628742658893E-3</v>
      </c>
      <c r="F18" s="337">
        <v>2.1999999999999999E-2</v>
      </c>
      <c r="G18" s="338">
        <f>100*F18/F$46</f>
        <v>4.1277268795698154E-3</v>
      </c>
      <c r="H18" s="337">
        <v>2.1000000000000001E-2</v>
      </c>
      <c r="I18" s="338">
        <f>100*H18/H$46</f>
        <v>3.7144999929247615E-3</v>
      </c>
      <c r="J18" s="337">
        <v>5.0000000000000001E-3</v>
      </c>
      <c r="K18" s="338">
        <f>100*J18/J$46</f>
        <v>8.5545541024219663E-4</v>
      </c>
      <c r="L18" s="337">
        <v>8.0000000000000002E-3</v>
      </c>
      <c r="M18" s="338">
        <f>100*L18/L$46</f>
        <v>1.4163779321236288E-3</v>
      </c>
      <c r="N18" s="337">
        <v>2.1999999999999999E-2</v>
      </c>
      <c r="O18" s="338">
        <f>100*N18/N$46</f>
        <v>3.6994437381870035E-3</v>
      </c>
      <c r="P18" s="337">
        <v>3.4000000000000002E-2</v>
      </c>
      <c r="Q18" s="338">
        <f>100*P18/P$46</f>
        <v>5.5024995913584875E-3</v>
      </c>
      <c r="R18" s="337">
        <v>2.5999999999999999E-2</v>
      </c>
      <c r="S18" s="338">
        <f>100*R18/R$46</f>
        <v>4.0717186254504347E-3</v>
      </c>
      <c r="T18" s="337">
        <v>2.4E-2</v>
      </c>
      <c r="U18" s="338">
        <f>100*T18/T$46</f>
        <v>3.659284061073451E-3</v>
      </c>
      <c r="V18" s="337">
        <v>3.1E-2</v>
      </c>
      <c r="W18" s="338">
        <f>100*V18/V$46</f>
        <v>4.4987519591339186E-3</v>
      </c>
      <c r="X18" s="337">
        <v>2.7E-2</v>
      </c>
      <c r="Y18" s="338">
        <f>100*X18/X$46</f>
        <v>3.716126474923716E-3</v>
      </c>
      <c r="Z18" s="337">
        <v>0.02</v>
      </c>
      <c r="AA18" s="338">
        <f>100*Z18/Z$46</f>
        <v>2.6572917414029971E-3</v>
      </c>
      <c r="AB18" s="355">
        <v>0</v>
      </c>
      <c r="AC18" s="339">
        <v>1.2E-2</v>
      </c>
      <c r="AD18" s="340">
        <f t="shared" si="25"/>
        <v>1.2E-2</v>
      </c>
      <c r="AE18" s="356">
        <v>0</v>
      </c>
      <c r="AF18" s="339">
        <v>1.7000000000000001E-2</v>
      </c>
      <c r="AG18" s="340">
        <f t="shared" si="18"/>
        <v>1.7000000000000001E-2</v>
      </c>
      <c r="AH18" s="357">
        <v>0</v>
      </c>
      <c r="AI18" s="339">
        <v>2.5000000000000001E-2</v>
      </c>
      <c r="AJ18" s="340">
        <f t="shared" si="26"/>
        <v>2.5000000000000001E-2</v>
      </c>
      <c r="AK18" s="342"/>
      <c r="AL18" s="339">
        <v>2.3E-2</v>
      </c>
      <c r="AM18" s="340">
        <f t="shared" si="27"/>
        <v>2.3E-2</v>
      </c>
      <c r="AN18" s="343"/>
      <c r="AO18" s="339">
        <v>1.4E-2</v>
      </c>
      <c r="AP18" s="340">
        <v>1.4E-2</v>
      </c>
      <c r="AQ18" s="342"/>
      <c r="AR18" s="341">
        <v>1.2999999999999999E-2</v>
      </c>
      <c r="AS18" s="344">
        <f t="shared" si="28"/>
        <v>1.2999999999999999E-2</v>
      </c>
      <c r="AT18" s="342"/>
      <c r="AU18" s="341">
        <v>1.2999999999999999E-2</v>
      </c>
      <c r="AV18" s="344">
        <v>1.2999999999999999E-2</v>
      </c>
      <c r="AW18" s="343"/>
      <c r="AX18" s="339">
        <v>1.2E-2</v>
      </c>
      <c r="AY18" s="344">
        <f t="shared" si="29"/>
        <v>1.2E-2</v>
      </c>
      <c r="AZ18" s="341"/>
      <c r="BA18" s="341">
        <v>1.0999999999999999E-2</v>
      </c>
      <c r="BB18" s="344">
        <f t="shared" si="30"/>
        <v>1.0999999999999999E-2</v>
      </c>
      <c r="BC18" s="342"/>
      <c r="BD18" s="341">
        <v>2.1000000000000001E-2</v>
      </c>
      <c r="BE18" s="344">
        <f t="shared" si="31"/>
        <v>2.1000000000000001E-2</v>
      </c>
      <c r="BF18" s="351"/>
      <c r="BG18" s="352">
        <v>1.6E-2</v>
      </c>
      <c r="BH18" s="184">
        <f t="shared" si="32"/>
        <v>1.6E-2</v>
      </c>
      <c r="BI18" s="189"/>
      <c r="BJ18" s="190">
        <v>0.01</v>
      </c>
      <c r="BK18" s="184">
        <v>0.01</v>
      </c>
      <c r="BL18" s="353"/>
      <c r="BM18" s="352" t="e">
        <f>SUMIF([3]DT12!$B$6:$B$81,$A18,[3]DT12!AQ$6:AQ$81)</f>
        <v>#VALUE!</v>
      </c>
      <c r="BN18" s="354" t="e">
        <f t="shared" si="33"/>
        <v>#VALUE!</v>
      </c>
    </row>
    <row r="19" spans="1:66" s="313" customFormat="1">
      <c r="A19" s="350" t="s">
        <v>94</v>
      </c>
      <c r="B19" s="337"/>
      <c r="C19" s="338">
        <f>100*B19/B$46</f>
        <v>0</v>
      </c>
      <c r="D19" s="337"/>
      <c r="E19" s="338">
        <f>100*D19/D$46</f>
        <v>0</v>
      </c>
      <c r="F19" s="337"/>
      <c r="G19" s="338">
        <f>100*F19/F$46</f>
        <v>0</v>
      </c>
      <c r="H19" s="337">
        <v>0.25700000000000001</v>
      </c>
      <c r="I19" s="338">
        <f>100*H19/H$46</f>
        <v>4.5458404675317317E-2</v>
      </c>
      <c r="J19" s="337">
        <v>0.19400000000000001</v>
      </c>
      <c r="K19" s="338">
        <f>100*J19/J$46</f>
        <v>3.3191669917397235E-2</v>
      </c>
      <c r="L19" s="337">
        <v>0.19500000000000001</v>
      </c>
      <c r="M19" s="338">
        <f>100*L19/L$46</f>
        <v>3.452421209551345E-2</v>
      </c>
      <c r="N19" s="337">
        <v>0.28199999999999997</v>
      </c>
      <c r="O19" s="338">
        <f>100*N19/N$46</f>
        <v>4.7420142462215223E-2</v>
      </c>
      <c r="P19" s="337">
        <v>0.39800000000000002</v>
      </c>
      <c r="Q19" s="338">
        <f>100*P19/P$46</f>
        <v>6.441161286354935E-2</v>
      </c>
      <c r="R19" s="337">
        <v>0.56000000000000005</v>
      </c>
      <c r="S19" s="338">
        <f>100*R19/R$46</f>
        <v>8.7698555009701668E-2</v>
      </c>
      <c r="T19" s="337">
        <v>0.498</v>
      </c>
      <c r="U19" s="338">
        <f>100*T19/T$46</f>
        <v>7.5930144267274111E-2</v>
      </c>
      <c r="V19" s="337">
        <v>0.44400000000000001</v>
      </c>
      <c r="W19" s="338">
        <f>100*V19/V$46</f>
        <v>6.4433737737272886E-2</v>
      </c>
      <c r="X19" s="337">
        <v>0.59799999999999998</v>
      </c>
      <c r="Y19" s="338">
        <f>100*X19/X$46</f>
        <v>8.2305319703865995E-2</v>
      </c>
      <c r="Z19" s="337">
        <v>0.76100000000000001</v>
      </c>
      <c r="AA19" s="338">
        <f>100*Z19/Z$46</f>
        <v>0.10110995076038402</v>
      </c>
      <c r="AB19" s="355">
        <v>0</v>
      </c>
      <c r="AC19" s="339">
        <v>0.40100000000000002</v>
      </c>
      <c r="AD19" s="340">
        <f t="shared" si="25"/>
        <v>0.40100000000000002</v>
      </c>
      <c r="AE19" s="356">
        <v>0</v>
      </c>
      <c r="AF19" s="339">
        <v>0.46100000000000002</v>
      </c>
      <c r="AG19" s="340">
        <f t="shared" si="18"/>
        <v>0.46100000000000002</v>
      </c>
      <c r="AH19" s="357">
        <v>0</v>
      </c>
      <c r="AI19" s="339">
        <v>0.39900000000000002</v>
      </c>
      <c r="AJ19" s="340">
        <f t="shared" si="26"/>
        <v>0.39900000000000002</v>
      </c>
      <c r="AK19" s="342"/>
      <c r="AL19" s="339">
        <v>0.11799999999999999</v>
      </c>
      <c r="AM19" s="340">
        <f t="shared" si="27"/>
        <v>0.11799999999999999</v>
      </c>
      <c r="AN19" s="343"/>
      <c r="AO19" s="339">
        <v>0</v>
      </c>
      <c r="AP19" s="340">
        <v>0</v>
      </c>
      <c r="AQ19" s="342"/>
      <c r="AR19" s="341">
        <v>0</v>
      </c>
      <c r="AS19" s="344">
        <f t="shared" si="28"/>
        <v>0</v>
      </c>
      <c r="AT19" s="342"/>
      <c r="AU19" s="341">
        <v>0.40799999999999997</v>
      </c>
      <c r="AV19" s="344">
        <v>0.40799999999999997</v>
      </c>
      <c r="AW19" s="343"/>
      <c r="AX19" s="339">
        <v>0.19700000000000001</v>
      </c>
      <c r="AY19" s="344">
        <f t="shared" si="29"/>
        <v>0.19700000000000001</v>
      </c>
      <c r="AZ19" s="341"/>
      <c r="BA19" s="341">
        <v>0.29699999999999999</v>
      </c>
      <c r="BB19" s="344">
        <f t="shared" si="30"/>
        <v>0.29699999999999999</v>
      </c>
      <c r="BC19" s="342"/>
      <c r="BD19" s="341">
        <v>0.35099999999999998</v>
      </c>
      <c r="BE19" s="344">
        <f t="shared" si="31"/>
        <v>0.35099999999999998</v>
      </c>
      <c r="BF19" s="351"/>
      <c r="BG19" s="352">
        <v>0.22800000000000001</v>
      </c>
      <c r="BH19" s="184">
        <f t="shared" si="32"/>
        <v>0.22800000000000001</v>
      </c>
      <c r="BI19" s="189"/>
      <c r="BJ19" s="190">
        <v>6.4000000000000001E-2</v>
      </c>
      <c r="BK19" s="184">
        <v>6.4000000000000001E-2</v>
      </c>
      <c r="BL19" s="353"/>
      <c r="BM19" s="352" t="e">
        <f>SUMIF([3]DT12!$B$6:$B$81,$A19,[3]DT12!AQ$6:AQ$81)</f>
        <v>#VALUE!</v>
      </c>
      <c r="BN19" s="354" t="e">
        <f t="shared" si="33"/>
        <v>#VALUE!</v>
      </c>
    </row>
    <row r="20" spans="1:66" s="313" customFormat="1">
      <c r="A20" s="350" t="s">
        <v>46</v>
      </c>
      <c r="B20" s="337">
        <v>6.5000000000000002E-2</v>
      </c>
      <c r="C20" s="338">
        <f>100*B20/B$46</f>
        <v>1.3434748460171137E-2</v>
      </c>
      <c r="D20" s="337">
        <v>0.27100000000000002</v>
      </c>
      <c r="E20" s="338">
        <f>100*D20/D$46</f>
        <v>5.4282074496638917E-2</v>
      </c>
      <c r="F20" s="337">
        <v>0.22900000000000001</v>
      </c>
      <c r="G20" s="338">
        <f>100*F20/F$46</f>
        <v>4.296588433734036E-2</v>
      </c>
      <c r="H20" s="337">
        <v>0.29099999999999998</v>
      </c>
      <c r="I20" s="338">
        <f>100*H20/H$46</f>
        <v>5.1472357044814544E-2</v>
      </c>
      <c r="J20" s="337">
        <v>0.35799999999999998</v>
      </c>
      <c r="K20" s="338">
        <f>100*J20/J$46</f>
        <v>6.1250607373341273E-2</v>
      </c>
      <c r="L20" s="337">
        <v>0.32500000000000001</v>
      </c>
      <c r="M20" s="338">
        <f>100*L20/L$46</f>
        <v>5.7540353492522421E-2</v>
      </c>
      <c r="N20" s="337">
        <v>0.35199999999999998</v>
      </c>
      <c r="O20" s="338">
        <f>100*N20/N$46</f>
        <v>5.9191099810992055E-2</v>
      </c>
      <c r="P20" s="337">
        <v>0.38100000000000001</v>
      </c>
      <c r="Q20" s="338">
        <f>100*P20/P$46</f>
        <v>6.1660363067870101E-2</v>
      </c>
      <c r="R20" s="337">
        <v>0.32500000000000001</v>
      </c>
      <c r="S20" s="338">
        <f>100*R20/R$46</f>
        <v>5.0896482818130431E-2</v>
      </c>
      <c r="T20" s="337">
        <v>0.14499999999999999</v>
      </c>
      <c r="U20" s="338">
        <f>100*T20/T$46</f>
        <v>2.2108174535652097E-2</v>
      </c>
      <c r="V20" s="337">
        <v>0.40100000000000002</v>
      </c>
      <c r="W20" s="338">
        <f>100*V20/V$46</f>
        <v>5.8193533406861328E-2</v>
      </c>
      <c r="X20" s="337">
        <v>0.45100000000000001</v>
      </c>
      <c r="Y20" s="338">
        <f>100*X20/X$46</f>
        <v>6.2073075562614662E-2</v>
      </c>
      <c r="Z20" s="337">
        <v>0.34799999999999998</v>
      </c>
      <c r="AA20" s="338">
        <f>100*Z20/Z$46</f>
        <v>4.6236876300412143E-2</v>
      </c>
      <c r="AB20" s="339">
        <v>0.217</v>
      </c>
      <c r="AC20" s="355">
        <v>0</v>
      </c>
      <c r="AD20" s="340">
        <f t="shared" si="25"/>
        <v>0.217</v>
      </c>
      <c r="AE20" s="341">
        <v>0.20499999999999999</v>
      </c>
      <c r="AF20" s="355">
        <v>0</v>
      </c>
      <c r="AG20" s="340">
        <f t="shared" si="18"/>
        <v>0.20499999999999999</v>
      </c>
      <c r="AH20" s="342">
        <v>0.193</v>
      </c>
      <c r="AI20" s="355">
        <v>0</v>
      </c>
      <c r="AJ20" s="340">
        <f t="shared" si="26"/>
        <v>0.193</v>
      </c>
      <c r="AK20" s="342">
        <v>0.41</v>
      </c>
      <c r="AL20" s="355">
        <v>0</v>
      </c>
      <c r="AM20" s="340">
        <f t="shared" si="27"/>
        <v>0.41</v>
      </c>
      <c r="AN20" s="343"/>
      <c r="AO20" s="339">
        <v>0.22600000000000001</v>
      </c>
      <c r="AP20" s="340">
        <v>0.22600000000000001</v>
      </c>
      <c r="AQ20" s="342"/>
      <c r="AR20" s="341">
        <v>4.4999999999999998E-2</v>
      </c>
      <c r="AS20" s="344">
        <f t="shared" si="28"/>
        <v>4.4999999999999998E-2</v>
      </c>
      <c r="AT20" s="342"/>
      <c r="AU20" s="341">
        <v>5.5E-2</v>
      </c>
      <c r="AV20" s="344">
        <v>5.5E-2</v>
      </c>
      <c r="AW20" s="343">
        <v>0.39200000000000002</v>
      </c>
      <c r="AX20" s="339"/>
      <c r="AY20" s="344">
        <f t="shared" si="29"/>
        <v>0.39200000000000002</v>
      </c>
      <c r="AZ20" s="341">
        <v>0.18</v>
      </c>
      <c r="BA20" s="341"/>
      <c r="BB20" s="344">
        <f t="shared" si="30"/>
        <v>0.18</v>
      </c>
      <c r="BC20" s="342"/>
      <c r="BD20" s="341"/>
      <c r="BE20" s="344">
        <f t="shared" si="31"/>
        <v>0</v>
      </c>
      <c r="BF20" s="351"/>
      <c r="BG20" s="352"/>
      <c r="BH20" s="184">
        <f t="shared" si="32"/>
        <v>0</v>
      </c>
      <c r="BI20" s="189"/>
      <c r="BJ20" s="190"/>
      <c r="BK20" s="184">
        <v>0</v>
      </c>
      <c r="BL20" s="353"/>
      <c r="BM20" s="352"/>
      <c r="BN20" s="354">
        <f t="shared" si="33"/>
        <v>0</v>
      </c>
    </row>
    <row r="21" spans="1:66" s="313" customFormat="1">
      <c r="A21" s="350" t="s">
        <v>47</v>
      </c>
      <c r="B21" s="337">
        <v>0.67700000000000005</v>
      </c>
      <c r="C21" s="338">
        <f>100*B21/B$46</f>
        <v>0.13992807242362862</v>
      </c>
      <c r="D21" s="337">
        <v>1.0309999999999999</v>
      </c>
      <c r="E21" s="338">
        <f>100*D21/D$46</f>
        <v>0.20651224651673328</v>
      </c>
      <c r="F21" s="337">
        <v>0.998</v>
      </c>
      <c r="G21" s="338">
        <f>100*F21/F$46</f>
        <v>0.18724870117321255</v>
      </c>
      <c r="H21" s="337">
        <v>0.873</v>
      </c>
      <c r="I21" s="338">
        <f>100*H21/H$46</f>
        <v>0.15441707113444364</v>
      </c>
      <c r="J21" s="337">
        <v>0.73</v>
      </c>
      <c r="K21" s="338">
        <f>100*J21/J$46</f>
        <v>0.12489648989536072</v>
      </c>
      <c r="L21" s="337">
        <v>0.81399999999999995</v>
      </c>
      <c r="M21" s="338">
        <f>100*L21/L$46</f>
        <v>0.14411645459357922</v>
      </c>
      <c r="N21" s="337">
        <v>1.0109999999999999</v>
      </c>
      <c r="O21" s="338">
        <f>100*N21/N$46</f>
        <v>0.1700062554230482</v>
      </c>
      <c r="P21" s="337">
        <v>1.258</v>
      </c>
      <c r="Q21" s="338">
        <f>100*P21/P$46</f>
        <v>0.20359248488026399</v>
      </c>
      <c r="R21" s="337">
        <v>1.133</v>
      </c>
      <c r="S21" s="338">
        <f>100*R21/R$46</f>
        <v>0.17743296933212854</v>
      </c>
      <c r="T21" s="337">
        <v>0.86399999999999999</v>
      </c>
      <c r="U21" s="338">
        <f>100*T21/T$46</f>
        <v>0.13173422619864425</v>
      </c>
      <c r="V21" s="337">
        <v>0.76500000000000001</v>
      </c>
      <c r="W21" s="338">
        <f>100*V21/V$46</f>
        <v>0.11101758866894991</v>
      </c>
      <c r="X21" s="337">
        <v>0.88600000000000001</v>
      </c>
      <c r="Y21" s="338">
        <f>100*X21/X$46</f>
        <v>0.12194400210305228</v>
      </c>
      <c r="Z21" s="337">
        <v>0.65500000000000003</v>
      </c>
      <c r="AA21" s="338">
        <f>100*Z21/Z$46</f>
        <v>8.7026304530948159E-2</v>
      </c>
      <c r="AB21" s="339">
        <v>0.73499999999999999</v>
      </c>
      <c r="AC21" s="339">
        <v>0.28000000000000003</v>
      </c>
      <c r="AD21" s="340">
        <f t="shared" si="25"/>
        <v>1.0150000000000001</v>
      </c>
      <c r="AE21" s="341">
        <v>0.93400000000000005</v>
      </c>
      <c r="AF21" s="339">
        <v>0.35699999999999998</v>
      </c>
      <c r="AG21" s="340">
        <f t="shared" si="18"/>
        <v>1.2909999999999999</v>
      </c>
      <c r="AH21" s="342">
        <v>0.85499999999999998</v>
      </c>
      <c r="AI21" s="339">
        <v>0.23400000000000001</v>
      </c>
      <c r="AJ21" s="340">
        <f t="shared" si="26"/>
        <v>1.089</v>
      </c>
      <c r="AK21" s="342">
        <v>0.434</v>
      </c>
      <c r="AL21" s="339">
        <v>0.16400000000000001</v>
      </c>
      <c r="AM21" s="340">
        <f t="shared" si="27"/>
        <v>0.59799999999999998</v>
      </c>
      <c r="AN21" s="343">
        <v>0.56000000000000005</v>
      </c>
      <c r="AO21" s="339">
        <v>0.156</v>
      </c>
      <c r="AP21" s="340">
        <v>0.71600000000000008</v>
      </c>
      <c r="AQ21" s="342">
        <v>0.54100000000000004</v>
      </c>
      <c r="AR21" s="341">
        <v>8.1000000000000003E-2</v>
      </c>
      <c r="AS21" s="344">
        <f t="shared" si="28"/>
        <v>0.622</v>
      </c>
      <c r="AT21" s="342">
        <v>0.42</v>
      </c>
      <c r="AU21" s="341">
        <v>0.19900000000000001</v>
      </c>
      <c r="AV21" s="344">
        <v>0.61899999999999999</v>
      </c>
      <c r="AW21" s="343">
        <v>0.55799999999999994</v>
      </c>
      <c r="AX21" s="339">
        <v>0.16700000000000001</v>
      </c>
      <c r="AY21" s="344">
        <f t="shared" si="29"/>
        <v>0.72499999999999998</v>
      </c>
      <c r="AZ21" s="341">
        <v>0.54</v>
      </c>
      <c r="BA21" s="341">
        <v>0.23099999999999998</v>
      </c>
      <c r="BB21" s="344">
        <f t="shared" si="30"/>
        <v>0.77100000000000002</v>
      </c>
      <c r="BC21" s="342">
        <v>0.41499999999999998</v>
      </c>
      <c r="BD21" s="341">
        <v>0.374</v>
      </c>
      <c r="BE21" s="344">
        <f t="shared" si="31"/>
        <v>0.78899999999999992</v>
      </c>
      <c r="BF21" s="351">
        <v>0.44299999999999995</v>
      </c>
      <c r="BG21" s="352">
        <v>0.30099999999999999</v>
      </c>
      <c r="BH21" s="184">
        <f t="shared" si="32"/>
        <v>0.74399999999999999</v>
      </c>
      <c r="BI21" s="189">
        <v>0.3</v>
      </c>
      <c r="BJ21" s="190">
        <v>0.23400000000000001</v>
      </c>
      <c r="BK21" s="184">
        <v>0.53400000000000003</v>
      </c>
      <c r="BL21" s="353">
        <f>[3]DT12!AP31+[3]DT12!AP72</f>
        <v>9.1999999999999998E-2</v>
      </c>
      <c r="BM21" s="352">
        <f>[3]DT12!AQ31+[3]DT12!AQ72</f>
        <v>0.1</v>
      </c>
      <c r="BN21" s="354">
        <f t="shared" si="33"/>
        <v>0.192</v>
      </c>
    </row>
    <row r="22" spans="1:66" s="313" customFormat="1">
      <c r="A22" s="359" t="s">
        <v>54</v>
      </c>
      <c r="B22" s="337"/>
      <c r="C22" s="338"/>
      <c r="D22" s="337"/>
      <c r="E22" s="338"/>
      <c r="F22" s="337"/>
      <c r="G22" s="338"/>
      <c r="H22" s="337"/>
      <c r="I22" s="338"/>
      <c r="J22" s="337"/>
      <c r="K22" s="338"/>
      <c r="L22" s="337"/>
      <c r="M22" s="338"/>
      <c r="N22" s="337"/>
      <c r="O22" s="338"/>
      <c r="P22" s="337"/>
      <c r="Q22" s="338"/>
      <c r="R22" s="337"/>
      <c r="S22" s="338"/>
      <c r="T22" s="337"/>
      <c r="U22" s="338"/>
      <c r="V22" s="337"/>
      <c r="W22" s="338"/>
      <c r="X22" s="337"/>
      <c r="Y22" s="338"/>
      <c r="Z22" s="337"/>
      <c r="AA22" s="338"/>
      <c r="AB22" s="355">
        <v>0</v>
      </c>
      <c r="AC22" s="355">
        <v>0</v>
      </c>
      <c r="AD22" s="379">
        <f t="shared" si="25"/>
        <v>0</v>
      </c>
      <c r="AE22" s="356">
        <v>0</v>
      </c>
      <c r="AF22" s="339">
        <v>5.8000000000000003E-2</v>
      </c>
      <c r="AG22" s="340">
        <f>AE22+AF22</f>
        <v>5.8000000000000003E-2</v>
      </c>
      <c r="AH22" s="342">
        <v>1.4E-2</v>
      </c>
      <c r="AI22" s="339">
        <v>0</v>
      </c>
      <c r="AJ22" s="340">
        <f t="shared" si="26"/>
        <v>1.4E-2</v>
      </c>
      <c r="AK22" s="342">
        <v>0.04</v>
      </c>
      <c r="AL22" s="339"/>
      <c r="AM22" s="340">
        <f t="shared" si="27"/>
        <v>0.04</v>
      </c>
      <c r="AN22" s="343">
        <v>3.3000000000000002E-2</v>
      </c>
      <c r="AO22" s="339">
        <v>6.4000000000000001E-2</v>
      </c>
      <c r="AP22" s="340">
        <v>9.7000000000000003E-2</v>
      </c>
      <c r="AQ22" s="342">
        <v>4.3999999999999997E-2</v>
      </c>
      <c r="AR22" s="341">
        <v>3.1E-2</v>
      </c>
      <c r="AS22" s="344">
        <f t="shared" si="28"/>
        <v>7.4999999999999997E-2</v>
      </c>
      <c r="AT22" s="342">
        <v>2.4E-2</v>
      </c>
      <c r="AU22" s="341">
        <v>1E-3</v>
      </c>
      <c r="AV22" s="344">
        <v>2.5000000000000001E-2</v>
      </c>
      <c r="AW22" s="343"/>
      <c r="AX22" s="339"/>
      <c r="AY22" s="344">
        <f t="shared" si="29"/>
        <v>0</v>
      </c>
      <c r="AZ22" s="341"/>
      <c r="BA22" s="341"/>
      <c r="BB22" s="344">
        <f t="shared" si="30"/>
        <v>0</v>
      </c>
      <c r="BC22" s="342"/>
      <c r="BD22" s="341"/>
      <c r="BE22" s="344">
        <f t="shared" si="31"/>
        <v>0</v>
      </c>
      <c r="BF22" s="351"/>
      <c r="BG22" s="352"/>
      <c r="BH22" s="184">
        <f t="shared" si="32"/>
        <v>0</v>
      </c>
      <c r="BI22" s="189"/>
      <c r="BJ22" s="190"/>
      <c r="BK22" s="184">
        <v>0</v>
      </c>
      <c r="BL22" s="353"/>
      <c r="BM22" s="352"/>
      <c r="BN22" s="354">
        <f t="shared" si="33"/>
        <v>0</v>
      </c>
    </row>
    <row r="23" spans="1:66">
      <c r="A23" s="380" t="s">
        <v>263</v>
      </c>
      <c r="B23" s="341"/>
      <c r="C23" s="381"/>
      <c r="D23" s="341"/>
      <c r="E23" s="381"/>
      <c r="F23" s="341"/>
      <c r="G23" s="381"/>
      <c r="H23" s="341"/>
      <c r="I23" s="381"/>
      <c r="J23" s="341"/>
      <c r="K23" s="381"/>
      <c r="L23" s="341"/>
      <c r="M23" s="381"/>
      <c r="N23" s="341"/>
      <c r="O23" s="381"/>
      <c r="P23" s="341"/>
      <c r="R23" s="341"/>
      <c r="S23" s="381"/>
      <c r="T23" s="341"/>
      <c r="U23" s="381"/>
      <c r="V23" s="341"/>
      <c r="W23" s="381"/>
      <c r="X23" s="341"/>
      <c r="Y23" s="381"/>
      <c r="Z23" s="341"/>
      <c r="AA23" s="381"/>
      <c r="AB23" s="381"/>
      <c r="AC23" s="381"/>
      <c r="AD23" s="381"/>
      <c r="AE23" s="341"/>
      <c r="AF23" s="381"/>
      <c r="AG23" s="381"/>
      <c r="AH23" s="382"/>
      <c r="AI23" s="382"/>
      <c r="AJ23" s="383"/>
      <c r="AK23" s="382"/>
      <c r="AL23" s="382"/>
      <c r="AM23" s="383"/>
      <c r="AN23" s="384"/>
      <c r="AO23" s="382">
        <v>0.29299999999999998</v>
      </c>
      <c r="AP23" s="383">
        <v>0.29299999999999998</v>
      </c>
      <c r="AQ23" s="342"/>
      <c r="AR23" s="341">
        <v>1.1970000000000001</v>
      </c>
      <c r="AS23" s="344">
        <f t="shared" si="28"/>
        <v>1.1970000000000001</v>
      </c>
      <c r="AT23" s="342"/>
      <c r="AU23" s="341">
        <v>3.4430000000000001</v>
      </c>
      <c r="AV23" s="344">
        <v>3.4430000000000001</v>
      </c>
      <c r="AW23" s="343"/>
      <c r="AX23" s="339">
        <v>6.21</v>
      </c>
      <c r="AY23" s="344">
        <f t="shared" si="29"/>
        <v>6.21</v>
      </c>
      <c r="AZ23" s="341"/>
      <c r="BA23" s="341">
        <v>8.2669999999999995</v>
      </c>
      <c r="BB23" s="344">
        <f t="shared" si="30"/>
        <v>8.2669999999999995</v>
      </c>
      <c r="BC23" s="342"/>
      <c r="BD23" s="341">
        <v>8.3290000000000006</v>
      </c>
      <c r="BE23" s="344">
        <f t="shared" si="31"/>
        <v>8.3290000000000006</v>
      </c>
      <c r="BF23" s="351"/>
      <c r="BG23" s="352">
        <v>15</v>
      </c>
      <c r="BH23" s="184">
        <f t="shared" si="32"/>
        <v>15</v>
      </c>
      <c r="BI23" s="189"/>
      <c r="BJ23" s="190">
        <v>15</v>
      </c>
      <c r="BK23" s="184">
        <v>15</v>
      </c>
      <c r="BL23" s="353"/>
      <c r="BM23" s="352" t="e">
        <f>SUMIF([3]DT12!$B$6:$B$81,$A23,[3]DT12!AQ$6:AQ$81)</f>
        <v>#VALUE!</v>
      </c>
      <c r="BN23" s="354" t="e">
        <f t="shared" si="33"/>
        <v>#VALUE!</v>
      </c>
    </row>
    <row r="24" spans="1:66">
      <c r="A24" s="358" t="s">
        <v>304</v>
      </c>
      <c r="B24" s="341"/>
      <c r="C24" s="381"/>
      <c r="D24" s="341"/>
      <c r="E24" s="381"/>
      <c r="F24" s="341"/>
      <c r="G24" s="381"/>
      <c r="H24" s="341"/>
      <c r="I24" s="381"/>
      <c r="J24" s="341"/>
      <c r="K24" s="381"/>
      <c r="L24" s="341"/>
      <c r="M24" s="381"/>
      <c r="N24" s="341"/>
      <c r="O24" s="381"/>
      <c r="P24" s="341"/>
      <c r="R24" s="341"/>
      <c r="S24" s="381"/>
      <c r="T24" s="341"/>
      <c r="U24" s="381"/>
      <c r="V24" s="341"/>
      <c r="W24" s="381"/>
      <c r="X24" s="341"/>
      <c r="Y24" s="381"/>
      <c r="Z24" s="341"/>
      <c r="AA24" s="381"/>
      <c r="AB24" s="381"/>
      <c r="AC24" s="381"/>
      <c r="AD24" s="381"/>
      <c r="AE24" s="341"/>
      <c r="AF24" s="381"/>
      <c r="AG24" s="381"/>
      <c r="AH24" s="382"/>
      <c r="AI24" s="382"/>
      <c r="AJ24" s="383"/>
      <c r="AK24" s="382"/>
      <c r="AL24" s="382"/>
      <c r="AM24" s="383"/>
      <c r="AN24" s="384"/>
      <c r="AO24" s="382"/>
      <c r="AP24" s="383"/>
      <c r="AQ24" s="342"/>
      <c r="AR24" s="341"/>
      <c r="AS24" s="344"/>
      <c r="AT24" s="342"/>
      <c r="AU24" s="341"/>
      <c r="AV24" s="344"/>
      <c r="AW24" s="343"/>
      <c r="AX24" s="339"/>
      <c r="AY24" s="344"/>
      <c r="AZ24" s="341"/>
      <c r="BA24" s="341">
        <v>0.1</v>
      </c>
      <c r="BB24" s="344">
        <f>AZ24+BA24</f>
        <v>0.1</v>
      </c>
      <c r="BC24" s="342"/>
      <c r="BD24" s="341">
        <v>2.5830000000000002</v>
      </c>
      <c r="BE24" s="344">
        <f>BC24+BD24</f>
        <v>2.5830000000000002</v>
      </c>
      <c r="BF24" s="351"/>
      <c r="BG24" s="352">
        <v>6.9719999999999995</v>
      </c>
      <c r="BH24" s="184">
        <f t="shared" si="32"/>
        <v>6.9719999999999995</v>
      </c>
      <c r="BI24" s="189"/>
      <c r="BJ24" s="190">
        <v>10.696</v>
      </c>
      <c r="BK24" s="184">
        <v>10.696</v>
      </c>
      <c r="BL24" s="353"/>
      <c r="BM24" s="352" t="e">
        <f>SUMIF([3]DT12!$B$6:$B$81,$A24,[3]DT12!AQ$6:AQ$81)</f>
        <v>#VALUE!</v>
      </c>
      <c r="BN24" s="354" t="e">
        <f t="shared" si="33"/>
        <v>#VALUE!</v>
      </c>
    </row>
    <row r="25" spans="1:66" s="313" customFormat="1">
      <c r="A25" s="359" t="s">
        <v>220</v>
      </c>
      <c r="B25" s="339">
        <v>0</v>
      </c>
      <c r="C25" s="338">
        <f>100*B25/B$46</f>
        <v>0</v>
      </c>
      <c r="D25" s="339">
        <v>0</v>
      </c>
      <c r="E25" s="338">
        <f>100*D25/D$46</f>
        <v>0</v>
      </c>
      <c r="F25" s="339">
        <v>0</v>
      </c>
      <c r="G25" s="338">
        <f>100*F25/F$46</f>
        <v>0</v>
      </c>
      <c r="H25" s="339">
        <v>0</v>
      </c>
      <c r="I25" s="338">
        <f>100*H25/H$46</f>
        <v>0</v>
      </c>
      <c r="J25" s="339">
        <v>0.69399999999999995</v>
      </c>
      <c r="K25" s="338">
        <f>100*J25/J$46</f>
        <v>0.11873721094161688</v>
      </c>
      <c r="L25" s="339">
        <v>1.7789999999999999</v>
      </c>
      <c r="M25" s="338">
        <f>100*L25/L$46</f>
        <v>0.3149670426559919</v>
      </c>
      <c r="N25" s="339">
        <v>2.1789999999999998</v>
      </c>
      <c r="O25" s="338">
        <f>100*N25/N$46</f>
        <v>0.3664130866140673</v>
      </c>
      <c r="P25" s="339">
        <v>2.4049999999999998</v>
      </c>
      <c r="Q25" s="338">
        <f>100*P25/P$46</f>
        <v>0.38922092697697525</v>
      </c>
      <c r="R25" s="339">
        <v>2.9129999999999998</v>
      </c>
      <c r="S25" s="338">
        <f>100*R25/R$46</f>
        <v>0.45618909061296592</v>
      </c>
      <c r="T25" s="339">
        <v>3.093</v>
      </c>
      <c r="U25" s="338">
        <f>100*T25/T$46</f>
        <v>0.47159023337084105</v>
      </c>
      <c r="V25" s="339">
        <v>3.7610000000000001</v>
      </c>
      <c r="W25" s="338">
        <f>100*V25/V$46</f>
        <v>0.54580019736460217</v>
      </c>
      <c r="X25" s="339">
        <v>3.7989999999999999</v>
      </c>
      <c r="Y25" s="338">
        <f>100*X25/X$46</f>
        <v>0.5228727584531554</v>
      </c>
      <c r="Z25" s="339">
        <v>4.1890000000000001</v>
      </c>
      <c r="AA25" s="338">
        <f>100*Z25/Z$46</f>
        <v>0.5565697552368577</v>
      </c>
      <c r="AB25" s="339">
        <v>0</v>
      </c>
      <c r="AC25" s="339">
        <v>4.1319999999999997</v>
      </c>
      <c r="AD25" s="339">
        <v>4.1319999999999997</v>
      </c>
      <c r="AE25" s="339">
        <v>0</v>
      </c>
      <c r="AF25" s="339">
        <v>3.4009999999999998</v>
      </c>
      <c r="AG25" s="339">
        <v>3.4009999999999998</v>
      </c>
      <c r="AH25" s="339">
        <v>0</v>
      </c>
      <c r="AI25" s="339">
        <v>3.1509999999999998</v>
      </c>
      <c r="AJ25" s="339">
        <v>3.1509999999999998</v>
      </c>
      <c r="AK25" s="339">
        <v>0</v>
      </c>
      <c r="AL25" s="339">
        <v>2.794</v>
      </c>
      <c r="AM25" s="340">
        <v>2.794</v>
      </c>
      <c r="AN25" s="339">
        <v>0</v>
      </c>
      <c r="AO25" s="339">
        <v>3.2559999999999998</v>
      </c>
      <c r="AP25" s="340">
        <v>3.2559999999999998</v>
      </c>
      <c r="AQ25" s="342"/>
      <c r="AR25" s="341">
        <v>2.61</v>
      </c>
      <c r="AS25" s="344">
        <f>AQ25+AR25</f>
        <v>2.61</v>
      </c>
      <c r="AT25" s="342"/>
      <c r="AU25" s="341">
        <v>6.2479999999999993</v>
      </c>
      <c r="AV25" s="344">
        <v>6.2479999999999993</v>
      </c>
      <c r="AW25" s="343"/>
      <c r="AX25" s="339"/>
      <c r="AY25" s="344"/>
      <c r="AZ25" s="341"/>
      <c r="BA25" s="341"/>
      <c r="BB25" s="344"/>
      <c r="BC25" s="342"/>
      <c r="BD25" s="341"/>
      <c r="BE25" s="344"/>
      <c r="BF25" s="351"/>
      <c r="BG25" s="352">
        <v>0.33700000000000002</v>
      </c>
      <c r="BH25" s="184">
        <f t="shared" si="32"/>
        <v>0.33700000000000002</v>
      </c>
      <c r="BI25" s="189"/>
      <c r="BJ25" s="190">
        <v>1.927</v>
      </c>
      <c r="BK25" s="184">
        <v>1.927</v>
      </c>
      <c r="BL25" s="353"/>
      <c r="BM25" s="352" t="e">
        <f>SUMIF([3]DT12!$B$6:$B$81,$A25,[3]DT12!AQ$6:AQ$81)</f>
        <v>#VALUE!</v>
      </c>
      <c r="BN25" s="354" t="e">
        <f t="shared" si="33"/>
        <v>#VALUE!</v>
      </c>
    </row>
    <row r="26" spans="1:66" s="313" customFormat="1">
      <c r="A26" s="358" t="s">
        <v>335</v>
      </c>
      <c r="B26" s="337"/>
      <c r="C26" s="386"/>
      <c r="D26" s="337"/>
      <c r="E26" s="386"/>
      <c r="F26" s="337"/>
      <c r="G26" s="386"/>
      <c r="H26" s="337"/>
      <c r="I26" s="386"/>
      <c r="J26" s="337"/>
      <c r="K26" s="386"/>
      <c r="L26" s="337"/>
      <c r="M26" s="386"/>
      <c r="N26" s="337"/>
      <c r="O26" s="386"/>
      <c r="P26" s="337"/>
      <c r="Q26" s="386"/>
      <c r="R26" s="337"/>
      <c r="S26" s="386"/>
      <c r="T26" s="337"/>
      <c r="U26" s="386"/>
      <c r="V26" s="337"/>
      <c r="W26" s="386"/>
      <c r="X26" s="337"/>
      <c r="Y26" s="386"/>
      <c r="Z26" s="337"/>
      <c r="AA26" s="386"/>
      <c r="AB26" s="355"/>
      <c r="AC26" s="339"/>
      <c r="AD26" s="340"/>
      <c r="AE26" s="356"/>
      <c r="AF26" s="339"/>
      <c r="AG26" s="340"/>
      <c r="AH26" s="357"/>
      <c r="AI26" s="339"/>
      <c r="AJ26" s="340"/>
      <c r="AK26" s="357"/>
      <c r="AL26" s="339"/>
      <c r="AM26" s="340"/>
      <c r="AN26" s="343"/>
      <c r="AO26" s="339"/>
      <c r="AP26" s="340"/>
      <c r="AQ26" s="342"/>
      <c r="AR26" s="341"/>
      <c r="AS26" s="344"/>
      <c r="AT26" s="342"/>
      <c r="AU26" s="341"/>
      <c r="AV26" s="344"/>
      <c r="AW26" s="343"/>
      <c r="AX26" s="339"/>
      <c r="AY26" s="344"/>
      <c r="AZ26" s="341"/>
      <c r="BA26" s="341"/>
      <c r="BB26" s="344"/>
      <c r="BC26" s="342"/>
      <c r="BD26" s="341"/>
      <c r="BE26" s="344"/>
      <c r="BF26" s="351"/>
      <c r="BG26" s="352"/>
      <c r="BH26" s="184">
        <f t="shared" si="32"/>
        <v>0</v>
      </c>
      <c r="BI26" s="189"/>
      <c r="BJ26" s="190">
        <v>1.7999999999999999E-2</v>
      </c>
      <c r="BK26" s="184">
        <v>1.7999999999999999E-2</v>
      </c>
      <c r="BL26" s="353"/>
      <c r="BM26" s="352" t="e">
        <f>SUMIF([3]DT12!$B$6:$B$81,$A26,[3]DT12!AQ$6:AQ$81)</f>
        <v>#VALUE!</v>
      </c>
      <c r="BN26" s="354" t="e">
        <f t="shared" si="33"/>
        <v>#VALUE!</v>
      </c>
    </row>
    <row r="27" spans="1:66" s="313" customFormat="1">
      <c r="A27" s="358" t="s">
        <v>322</v>
      </c>
      <c r="B27" s="337"/>
      <c r="C27" s="386"/>
      <c r="D27" s="337"/>
      <c r="E27" s="386"/>
      <c r="F27" s="337"/>
      <c r="G27" s="386"/>
      <c r="H27" s="337"/>
      <c r="I27" s="386"/>
      <c r="J27" s="337"/>
      <c r="K27" s="386"/>
      <c r="L27" s="337"/>
      <c r="M27" s="386"/>
      <c r="N27" s="337"/>
      <c r="O27" s="386"/>
      <c r="P27" s="337"/>
      <c r="Q27" s="386"/>
      <c r="R27" s="337"/>
      <c r="S27" s="386"/>
      <c r="T27" s="337"/>
      <c r="U27" s="386"/>
      <c r="V27" s="337"/>
      <c r="W27" s="386"/>
      <c r="X27" s="337"/>
      <c r="Y27" s="386"/>
      <c r="Z27" s="337"/>
      <c r="AA27" s="386"/>
      <c r="AB27" s="355"/>
      <c r="AC27" s="339"/>
      <c r="AD27" s="340"/>
      <c r="AE27" s="356"/>
      <c r="AF27" s="339"/>
      <c r="AG27" s="340"/>
      <c r="AH27" s="357"/>
      <c r="AI27" s="339"/>
      <c r="AJ27" s="340"/>
      <c r="AK27" s="357"/>
      <c r="AL27" s="339"/>
      <c r="AM27" s="340"/>
      <c r="AN27" s="343"/>
      <c r="AO27" s="339"/>
      <c r="AP27" s="340"/>
      <c r="AQ27" s="342"/>
      <c r="AR27" s="341"/>
      <c r="AS27" s="344"/>
      <c r="AT27" s="342"/>
      <c r="AU27" s="341"/>
      <c r="AV27" s="344"/>
      <c r="AW27" s="343"/>
      <c r="AX27" s="339"/>
      <c r="AY27" s="344"/>
      <c r="AZ27" s="341"/>
      <c r="BA27" s="341"/>
      <c r="BB27" s="344"/>
      <c r="BC27" s="342"/>
      <c r="BD27" s="341"/>
      <c r="BE27" s="344"/>
      <c r="BF27" s="351"/>
      <c r="BG27" s="352">
        <v>0.75700000000000001</v>
      </c>
      <c r="BH27" s="184">
        <f t="shared" si="32"/>
        <v>0.75700000000000001</v>
      </c>
      <c r="BI27" s="189"/>
      <c r="BJ27" s="190">
        <v>1.657</v>
      </c>
      <c r="BK27" s="184">
        <v>1.657</v>
      </c>
      <c r="BL27" s="353"/>
      <c r="BM27" s="352" t="e">
        <f>SUMIF([3]DT12!$B$6:$B$81,$A27,[3]DT12!AQ$6:AQ$81)</f>
        <v>#VALUE!</v>
      </c>
      <c r="BN27" s="354" t="e">
        <f t="shared" si="33"/>
        <v>#VALUE!</v>
      </c>
    </row>
    <row r="28" spans="1:66" s="313" customFormat="1">
      <c r="A28" s="358" t="s">
        <v>333</v>
      </c>
      <c r="B28" s="337"/>
      <c r="C28" s="386"/>
      <c r="D28" s="337"/>
      <c r="E28" s="386"/>
      <c r="F28" s="337"/>
      <c r="G28" s="386"/>
      <c r="H28" s="337"/>
      <c r="I28" s="386"/>
      <c r="J28" s="337"/>
      <c r="K28" s="386"/>
      <c r="L28" s="337"/>
      <c r="M28" s="386"/>
      <c r="N28" s="337"/>
      <c r="O28" s="386"/>
      <c r="P28" s="337"/>
      <c r="Q28" s="386"/>
      <c r="R28" s="337"/>
      <c r="S28" s="386"/>
      <c r="T28" s="337"/>
      <c r="U28" s="386"/>
      <c r="V28" s="337"/>
      <c r="W28" s="386"/>
      <c r="X28" s="337"/>
      <c r="Y28" s="386"/>
      <c r="Z28" s="337"/>
      <c r="AA28" s="386"/>
      <c r="AB28" s="355"/>
      <c r="AC28" s="339"/>
      <c r="AD28" s="340"/>
      <c r="AE28" s="356"/>
      <c r="AF28" s="339"/>
      <c r="AG28" s="340"/>
      <c r="AH28" s="357"/>
      <c r="AI28" s="339"/>
      <c r="AJ28" s="340"/>
      <c r="AK28" s="357"/>
      <c r="AL28" s="339"/>
      <c r="AM28" s="340"/>
      <c r="AN28" s="343"/>
      <c r="AO28" s="339"/>
      <c r="AP28" s="340"/>
      <c r="AQ28" s="342"/>
      <c r="AR28" s="341"/>
      <c r="AS28" s="344"/>
      <c r="AT28" s="342"/>
      <c r="AU28" s="341"/>
      <c r="AV28" s="344"/>
      <c r="AW28" s="343"/>
      <c r="AX28" s="339"/>
      <c r="AY28" s="344"/>
      <c r="AZ28" s="341"/>
      <c r="BA28" s="341"/>
      <c r="BB28" s="344"/>
      <c r="BC28" s="342"/>
      <c r="BD28" s="341"/>
      <c r="BE28" s="344"/>
      <c r="BF28" s="351"/>
      <c r="BG28" s="352"/>
      <c r="BH28" s="184">
        <f t="shared" si="32"/>
        <v>0</v>
      </c>
      <c r="BI28" s="189"/>
      <c r="BJ28" s="190">
        <v>0.51500000000000001</v>
      </c>
      <c r="BK28" s="184">
        <v>0.51500000000000001</v>
      </c>
      <c r="BL28" s="353"/>
      <c r="BM28" s="352" t="e">
        <f>SUMIF([3]DT12!$B$6:$B$81,$A28,[3]DT12!AQ$6:AQ$81)</f>
        <v>#VALUE!</v>
      </c>
      <c r="BN28" s="354" t="e">
        <f t="shared" si="33"/>
        <v>#VALUE!</v>
      </c>
    </row>
    <row r="29" spans="1:66" s="313" customFormat="1">
      <c r="A29" s="358" t="s">
        <v>392</v>
      </c>
      <c r="B29" s="337"/>
      <c r="C29" s="386"/>
      <c r="D29" s="337"/>
      <c r="E29" s="386"/>
      <c r="F29" s="337"/>
      <c r="G29" s="386"/>
      <c r="H29" s="337"/>
      <c r="I29" s="386"/>
      <c r="J29" s="337"/>
      <c r="K29" s="386"/>
      <c r="L29" s="337"/>
      <c r="M29" s="386"/>
      <c r="N29" s="337"/>
      <c r="O29" s="386"/>
      <c r="P29" s="337"/>
      <c r="Q29" s="386"/>
      <c r="R29" s="337"/>
      <c r="S29" s="386"/>
      <c r="T29" s="337"/>
      <c r="U29" s="386"/>
      <c r="V29" s="337"/>
      <c r="W29" s="386"/>
      <c r="X29" s="337"/>
      <c r="Y29" s="386"/>
      <c r="Z29" s="337"/>
      <c r="AA29" s="386"/>
      <c r="AB29" s="355"/>
      <c r="AC29" s="339"/>
      <c r="AD29" s="340"/>
      <c r="AE29" s="356"/>
      <c r="AF29" s="339"/>
      <c r="AG29" s="340"/>
      <c r="AH29" s="357"/>
      <c r="AI29" s="339"/>
      <c r="AJ29" s="340"/>
      <c r="AK29" s="357"/>
      <c r="AL29" s="339"/>
      <c r="AM29" s="340"/>
      <c r="AN29" s="343"/>
      <c r="AO29" s="339"/>
      <c r="AP29" s="340"/>
      <c r="AQ29" s="342"/>
      <c r="AR29" s="341"/>
      <c r="AS29" s="344"/>
      <c r="AT29" s="342"/>
      <c r="AU29" s="341"/>
      <c r="AV29" s="344"/>
      <c r="AW29" s="343"/>
      <c r="AX29" s="339"/>
      <c r="AY29" s="344"/>
      <c r="AZ29" s="341"/>
      <c r="BA29" s="341"/>
      <c r="BB29" s="344"/>
      <c r="BC29" s="342"/>
      <c r="BD29" s="341"/>
      <c r="BE29" s="344"/>
      <c r="BF29" s="351"/>
      <c r="BG29" s="352"/>
      <c r="BH29" s="184">
        <f t="shared" si="32"/>
        <v>0</v>
      </c>
      <c r="BI29" s="189"/>
      <c r="BJ29" s="190">
        <v>0.51500000000000001</v>
      </c>
      <c r="BK29" s="184">
        <v>0.51500000000000001</v>
      </c>
      <c r="BL29" s="353"/>
      <c r="BM29" s="352" t="e">
        <f>SUMIF([3]DT12!$B$6:$B$81,$A29,[3]DT12!AQ$6:AQ$81)</f>
        <v>#VALUE!</v>
      </c>
      <c r="BN29" s="354" t="e">
        <f t="shared" si="33"/>
        <v>#VALUE!</v>
      </c>
    </row>
    <row r="30" spans="1:66" s="313" customFormat="1">
      <c r="A30" s="358" t="s">
        <v>393</v>
      </c>
      <c r="B30" s="337"/>
      <c r="C30" s="386"/>
      <c r="D30" s="337"/>
      <c r="E30" s="386"/>
      <c r="F30" s="337"/>
      <c r="G30" s="386"/>
      <c r="H30" s="337"/>
      <c r="I30" s="386"/>
      <c r="J30" s="337"/>
      <c r="K30" s="386"/>
      <c r="L30" s="337"/>
      <c r="M30" s="386"/>
      <c r="N30" s="337"/>
      <c r="O30" s="386"/>
      <c r="P30" s="337"/>
      <c r="Q30" s="386"/>
      <c r="R30" s="337"/>
      <c r="S30" s="386"/>
      <c r="T30" s="337"/>
      <c r="U30" s="386"/>
      <c r="V30" s="337"/>
      <c r="W30" s="386"/>
      <c r="X30" s="337"/>
      <c r="Y30" s="386"/>
      <c r="Z30" s="337"/>
      <c r="AA30" s="386"/>
      <c r="AB30" s="355"/>
      <c r="AC30" s="339"/>
      <c r="AD30" s="340"/>
      <c r="AE30" s="356"/>
      <c r="AF30" s="339"/>
      <c r="AG30" s="340"/>
      <c r="AH30" s="357"/>
      <c r="AI30" s="339"/>
      <c r="AJ30" s="340"/>
      <c r="AK30" s="357"/>
      <c r="AL30" s="339"/>
      <c r="AM30" s="340"/>
      <c r="AN30" s="343"/>
      <c r="AO30" s="339"/>
      <c r="AP30" s="340"/>
      <c r="AQ30" s="342"/>
      <c r="AR30" s="341"/>
      <c r="AS30" s="344"/>
      <c r="AT30" s="342"/>
      <c r="AU30" s="341"/>
      <c r="AV30" s="344"/>
      <c r="AW30" s="343"/>
      <c r="AX30" s="339"/>
      <c r="AY30" s="344"/>
      <c r="AZ30" s="341"/>
      <c r="BA30" s="341"/>
      <c r="BB30" s="344"/>
      <c r="BC30" s="342"/>
      <c r="BD30" s="341"/>
      <c r="BE30" s="344"/>
      <c r="BF30" s="351"/>
      <c r="BG30" s="352"/>
      <c r="BH30" s="184">
        <f t="shared" si="32"/>
        <v>0</v>
      </c>
      <c r="BI30" s="189"/>
      <c r="BJ30" s="190">
        <v>0.51500000000000001</v>
      </c>
      <c r="BK30" s="184">
        <v>0.51500000000000001</v>
      </c>
      <c r="BL30" s="353"/>
      <c r="BM30" s="352" t="e">
        <f>SUMIF([3]DT12!$B$6:$B$81,$A30,[3]DT12!AQ$6:AQ$81)</f>
        <v>#VALUE!</v>
      </c>
      <c r="BN30" s="354" t="e">
        <f t="shared" si="33"/>
        <v>#VALUE!</v>
      </c>
    </row>
    <row r="31" spans="1:66" s="335" customFormat="1">
      <c r="A31" s="368" t="s">
        <v>136</v>
      </c>
      <c r="B31" s="369">
        <f t="shared" ref="B31:AA31" si="34">SUM(B16:B21)</f>
        <v>238.66900000000001</v>
      </c>
      <c r="C31" s="370">
        <f t="shared" si="34"/>
        <v>49.330122772932086</v>
      </c>
      <c r="D31" s="369">
        <f t="shared" si="34"/>
        <v>245.84800000000001</v>
      </c>
      <c r="E31" s="370">
        <f t="shared" si="34"/>
        <v>49.244057014205474</v>
      </c>
      <c r="F31" s="369">
        <f t="shared" si="34"/>
        <v>262.40999999999997</v>
      </c>
      <c r="G31" s="370">
        <f t="shared" si="34"/>
        <v>49.23440047581434</v>
      </c>
      <c r="H31" s="369">
        <f t="shared" si="34"/>
        <v>278.41200000000003</v>
      </c>
      <c r="I31" s="370">
        <f t="shared" si="34"/>
        <v>49.245779620484228</v>
      </c>
      <c r="J31" s="369">
        <f t="shared" si="34"/>
        <v>288.02499999999998</v>
      </c>
      <c r="K31" s="370">
        <f t="shared" si="34"/>
        <v>49.278508907001729</v>
      </c>
      <c r="L31" s="369">
        <f t="shared" si="34"/>
        <v>277.68799999999999</v>
      </c>
      <c r="M31" s="370">
        <f t="shared" si="34"/>
        <v>49.163894401943274</v>
      </c>
      <c r="N31" s="369">
        <f t="shared" si="34"/>
        <v>292.71499999999997</v>
      </c>
      <c r="O31" s="370">
        <f t="shared" si="34"/>
        <v>49.22193971924586</v>
      </c>
      <c r="P31" s="369">
        <f t="shared" si="34"/>
        <v>304.24899999999997</v>
      </c>
      <c r="Q31" s="370">
        <f t="shared" si="34"/>
        <v>49.239117593271423</v>
      </c>
      <c r="R31" s="369">
        <f t="shared" si="34"/>
        <v>313.87199999999996</v>
      </c>
      <c r="S31" s="370">
        <f t="shared" si="34"/>
        <v>49.153787246437645</v>
      </c>
      <c r="T31" s="369">
        <f t="shared" si="34"/>
        <v>322.77099999999996</v>
      </c>
      <c r="U31" s="370">
        <f t="shared" si="34"/>
        <v>49.21294898653079</v>
      </c>
      <c r="V31" s="369">
        <f t="shared" si="34"/>
        <v>338.70499999999998</v>
      </c>
      <c r="W31" s="370">
        <f t="shared" si="34"/>
        <v>49.153218784466262</v>
      </c>
      <c r="X31" s="369">
        <f t="shared" si="34"/>
        <v>357.17500000000007</v>
      </c>
      <c r="Y31" s="370">
        <f t="shared" si="34"/>
        <v>49.159536062254745</v>
      </c>
      <c r="Z31" s="369">
        <f t="shared" si="34"/>
        <v>369.82600000000002</v>
      </c>
      <c r="AA31" s="370">
        <f t="shared" si="34"/>
        <v>49.136778777805233</v>
      </c>
      <c r="AB31" s="369">
        <f t="shared" ref="AB31:BH31" si="35">SUM(AB16:AB30)</f>
        <v>28.462999999999994</v>
      </c>
      <c r="AC31" s="369">
        <f t="shared" si="35"/>
        <v>422.44799999999992</v>
      </c>
      <c r="AD31" s="369">
        <f t="shared" si="35"/>
        <v>450.911</v>
      </c>
      <c r="AE31" s="369">
        <f t="shared" si="35"/>
        <v>35.270999999999994</v>
      </c>
      <c r="AF31" s="369">
        <f t="shared" si="35"/>
        <v>434.64800000000008</v>
      </c>
      <c r="AG31" s="369">
        <f t="shared" si="35"/>
        <v>469.91899999999998</v>
      </c>
      <c r="AH31" s="369">
        <f t="shared" si="35"/>
        <v>41.92499999999999</v>
      </c>
      <c r="AI31" s="369">
        <f t="shared" si="35"/>
        <v>436.77299999999991</v>
      </c>
      <c r="AJ31" s="369">
        <f t="shared" si="35"/>
        <v>478.69799999999992</v>
      </c>
      <c r="AK31" s="369">
        <f t="shared" si="35"/>
        <v>44.314999999999998</v>
      </c>
      <c r="AL31" s="369">
        <f t="shared" si="35"/>
        <v>443.67500000000001</v>
      </c>
      <c r="AM31" s="369">
        <f t="shared" si="35"/>
        <v>487.99000000000007</v>
      </c>
      <c r="AN31" s="369">
        <f t="shared" si="35"/>
        <v>48.557000000000002</v>
      </c>
      <c r="AO31" s="369">
        <f t="shared" si="35"/>
        <v>472.60700000000003</v>
      </c>
      <c r="AP31" s="369">
        <f t="shared" si="35"/>
        <v>521.16399999999999</v>
      </c>
      <c r="AQ31" s="369">
        <f t="shared" si="35"/>
        <v>51.195999999999991</v>
      </c>
      <c r="AR31" s="369">
        <f t="shared" si="35"/>
        <v>472.17399999999998</v>
      </c>
      <c r="AS31" s="369">
        <f t="shared" si="35"/>
        <v>523.37</v>
      </c>
      <c r="AT31" s="369">
        <f t="shared" si="35"/>
        <v>50.289000000000001</v>
      </c>
      <c r="AU31" s="369">
        <f t="shared" si="35"/>
        <v>502.04399999999998</v>
      </c>
      <c r="AV31" s="369">
        <f t="shared" si="35"/>
        <v>552.33300000000008</v>
      </c>
      <c r="AW31" s="369">
        <f t="shared" si="35"/>
        <v>52.988000000000007</v>
      </c>
      <c r="AX31" s="369">
        <f t="shared" si="35"/>
        <v>547.31799999999998</v>
      </c>
      <c r="AY31" s="369">
        <f t="shared" si="35"/>
        <v>600.30600000000004</v>
      </c>
      <c r="AZ31" s="369">
        <f t="shared" si="35"/>
        <v>52.997</v>
      </c>
      <c r="BA31" s="369">
        <f t="shared" si="35"/>
        <v>560.40100000000007</v>
      </c>
      <c r="BB31" s="369">
        <f t="shared" si="35"/>
        <v>613.39800000000014</v>
      </c>
      <c r="BC31" s="369">
        <f t="shared" si="35"/>
        <v>39.167000000000002</v>
      </c>
      <c r="BD31" s="369">
        <f t="shared" si="35"/>
        <v>617.53899999999999</v>
      </c>
      <c r="BE31" s="369">
        <f t="shared" si="35"/>
        <v>656.7059999999999</v>
      </c>
      <c r="BF31" s="369">
        <f t="shared" si="35"/>
        <v>36.756999999999998</v>
      </c>
      <c r="BG31" s="369">
        <f t="shared" si="35"/>
        <v>662.91899999999987</v>
      </c>
      <c r="BH31" s="369">
        <f t="shared" si="35"/>
        <v>699.67599999999993</v>
      </c>
      <c r="BI31" s="369">
        <v>44.449999999999996</v>
      </c>
      <c r="BJ31" s="369">
        <v>630.07600000000025</v>
      </c>
      <c r="BK31" s="369">
        <v>674.52600000000007</v>
      </c>
      <c r="BL31" s="369" t="e">
        <f>SUM(BL16:BL30)</f>
        <v>#VALUE!</v>
      </c>
      <c r="BM31" s="369" t="e">
        <f>SUM(BM16:BM30)</f>
        <v>#VALUE!</v>
      </c>
      <c r="BN31" s="371" t="e">
        <f>SUM(BN16:BN30)</f>
        <v>#VALUE!</v>
      </c>
    </row>
    <row r="32" spans="1:66" s="313" customFormat="1">
      <c r="A32" s="372" t="s">
        <v>215</v>
      </c>
      <c r="B32" s="337">
        <v>3.9390000000000001</v>
      </c>
      <c r="C32" s="338">
        <f>100*B32/B$46</f>
        <v>0.81414575668637079</v>
      </c>
      <c r="D32" s="337">
        <v>4.282</v>
      </c>
      <c r="E32" s="338">
        <f>100*D32/D$46</f>
        <v>0.85769683761847904</v>
      </c>
      <c r="F32" s="337">
        <v>4.9130000000000003</v>
      </c>
      <c r="G32" s="338">
        <f>100*F32/F$46</f>
        <v>0.92179646178756847</v>
      </c>
      <c r="H32" s="337">
        <v>5.2869999999999999</v>
      </c>
      <c r="I32" s="338">
        <f>100*H32/H$46</f>
        <v>0.93516959345681971</v>
      </c>
      <c r="J32" s="337">
        <v>5.2</v>
      </c>
      <c r="K32" s="338">
        <f>100*J32/J$46</f>
        <v>0.88967362665188454</v>
      </c>
      <c r="L32" s="337">
        <v>5.2069999999999999</v>
      </c>
      <c r="M32" s="338">
        <f>100*L32/L$46</f>
        <v>0.92188498657096674</v>
      </c>
      <c r="N32" s="337">
        <v>5.194</v>
      </c>
      <c r="O32" s="338">
        <f>100*N32/N$46</f>
        <v>0.87340503527924074</v>
      </c>
      <c r="P32" s="337">
        <v>5.3380000000000001</v>
      </c>
      <c r="Q32" s="338">
        <f>100*P32/P$46</f>
        <v>0.86389243584328235</v>
      </c>
      <c r="R32" s="337">
        <v>5.6580000000000004</v>
      </c>
      <c r="S32" s="338">
        <f>100*R32/R$46</f>
        <v>0.88606861472302156</v>
      </c>
      <c r="T32" s="337">
        <v>5.9180000000000001</v>
      </c>
      <c r="U32" s="338">
        <f>100*T32/T$46</f>
        <v>0.90231846139302863</v>
      </c>
      <c r="V32" s="337">
        <v>6.14</v>
      </c>
      <c r="W32" s="338">
        <f>100*V32/V$46</f>
        <v>0.89104312997039536</v>
      </c>
      <c r="X32" s="337">
        <v>6.3769999999999998</v>
      </c>
      <c r="Y32" s="338">
        <f>100*X32/X$46</f>
        <v>0.87769401965142713</v>
      </c>
      <c r="Z32" s="337">
        <v>6.5060000000000002</v>
      </c>
      <c r="AA32" s="338">
        <f>100*Z32/Z$46</f>
        <v>0.86441700347839501</v>
      </c>
      <c r="AB32" s="339">
        <v>7.2489999999999997</v>
      </c>
      <c r="AC32" s="339">
        <v>3.3000000000000002E-2</v>
      </c>
      <c r="AD32" s="340">
        <f>AB32+AC32</f>
        <v>7.282</v>
      </c>
      <c r="AE32" s="341">
        <v>7.1689999999999996</v>
      </c>
      <c r="AF32" s="339">
        <v>5.1999999999999998E-2</v>
      </c>
      <c r="AG32" s="340">
        <f>AE32+AF32</f>
        <v>7.2209999999999992</v>
      </c>
      <c r="AH32" s="342">
        <v>7.0030000000000001</v>
      </c>
      <c r="AI32" s="339">
        <v>2.3E-2</v>
      </c>
      <c r="AJ32" s="340">
        <f>AH32+AI32</f>
        <v>7.0259999999999998</v>
      </c>
      <c r="AK32" s="342">
        <f>1.556+5.815</f>
        <v>7.3710000000000004</v>
      </c>
      <c r="AL32" s="339">
        <v>6.7000000000000004E-2</v>
      </c>
      <c r="AM32" s="340">
        <f>AK32+AL32</f>
        <v>7.4380000000000006</v>
      </c>
      <c r="AN32" s="343">
        <v>7.2329999999999997</v>
      </c>
      <c r="AO32" s="339">
        <v>8.1000000000000003E-2</v>
      </c>
      <c r="AP32" s="340">
        <v>7.3140000000000001</v>
      </c>
      <c r="AQ32" s="342">
        <v>6.9020000000000001</v>
      </c>
      <c r="AR32" s="341">
        <v>6.7000000000000004E-2</v>
      </c>
      <c r="AS32" s="344">
        <f>AQ32+AR32</f>
        <v>6.9690000000000003</v>
      </c>
      <c r="AT32" s="342">
        <v>6.0369999999999999</v>
      </c>
      <c r="AU32" s="341">
        <v>2.4E-2</v>
      </c>
      <c r="AV32" s="344">
        <v>6.0609999999999999</v>
      </c>
      <c r="AW32" s="343">
        <v>6.2249999999999996</v>
      </c>
      <c r="AX32" s="339">
        <v>8.0000000000000002E-3</v>
      </c>
      <c r="AY32" s="344">
        <f t="shared" ref="AY32:AY40" si="36">AW32+AX32</f>
        <v>6.2329999999999997</v>
      </c>
      <c r="AZ32" s="341">
        <v>6.3109999999999999</v>
      </c>
      <c r="BA32" s="341">
        <v>0</v>
      </c>
      <c r="BB32" s="344">
        <f>AZ32+BA32</f>
        <v>6.3109999999999999</v>
      </c>
      <c r="BC32" s="342">
        <v>6.2130000000000001</v>
      </c>
      <c r="BD32" s="341">
        <v>0</v>
      </c>
      <c r="BE32" s="344">
        <f t="shared" ref="BE32:BE40" si="37">BC32+BD32</f>
        <v>6.2130000000000001</v>
      </c>
      <c r="BF32" s="373">
        <v>6.5609999999999999</v>
      </c>
      <c r="BG32" s="374">
        <v>0</v>
      </c>
      <c r="BH32" s="181">
        <f t="shared" ref="BH32:BH40" si="38">BF32+BG32</f>
        <v>6.5609999999999999</v>
      </c>
      <c r="BI32" s="375">
        <v>6.2059999999999995</v>
      </c>
      <c r="BJ32" s="376">
        <v>0</v>
      </c>
      <c r="BK32" s="181">
        <v>6.2059999999999995</v>
      </c>
      <c r="BL32" s="377" t="e">
        <f>SUMIF([3]DT12!$B$6:$B$81,$A32,[3]DT12!AP$6:AP$81)</f>
        <v>#VALUE!</v>
      </c>
      <c r="BM32" s="374" t="e">
        <f>SUMIF([3]DT12!$B$6:$B$81,$A32,[3]DT12!AQ$6:AQ$81)</f>
        <v>#VALUE!</v>
      </c>
      <c r="BN32" s="378" t="e">
        <f t="shared" ref="BN32:BN40" si="39">BL32+BM32</f>
        <v>#VALUE!</v>
      </c>
    </row>
    <row r="33" spans="1:66" s="313" customFormat="1">
      <c r="A33" s="387" t="s">
        <v>49</v>
      </c>
      <c r="B33" s="337">
        <v>2.5430000000000001</v>
      </c>
      <c r="C33" s="338">
        <f>100*B33/B$46</f>
        <v>0.5256086974494647</v>
      </c>
      <c r="D33" s="337">
        <v>3.266</v>
      </c>
      <c r="E33" s="338">
        <f>100*D33/D$46</f>
        <v>0.65418913397056355</v>
      </c>
      <c r="F33" s="337">
        <v>3.2480000000000002</v>
      </c>
      <c r="G33" s="338">
        <f>100*F33/F$46</f>
        <v>0.6094025865837619</v>
      </c>
      <c r="H33" s="337">
        <v>3.2410000000000001</v>
      </c>
      <c r="I33" s="338">
        <f>100*H33/H$46</f>
        <v>0.57327116557472158</v>
      </c>
      <c r="J33" s="337">
        <v>3.234</v>
      </c>
      <c r="K33" s="338">
        <f>100*J33/J$46</f>
        <v>0.55330855934465273</v>
      </c>
      <c r="L33" s="337">
        <v>4.2380000000000004</v>
      </c>
      <c r="M33" s="338">
        <f>100*L33/L$46</f>
        <v>0.75032620954249241</v>
      </c>
      <c r="N33" s="337">
        <v>4.0599999999999996</v>
      </c>
      <c r="O33" s="338">
        <f>100*N33/N$46</f>
        <v>0.68271552622905607</v>
      </c>
      <c r="P33" s="337">
        <v>4.0650000000000004</v>
      </c>
      <c r="Q33" s="338">
        <f>100*P33/P$46</f>
        <v>0.65787237761388973</v>
      </c>
      <c r="R33" s="337">
        <v>5.149</v>
      </c>
      <c r="S33" s="338">
        <f>100*R33/R$46</f>
        <v>0.80635689240170327</v>
      </c>
      <c r="T33" s="337">
        <v>4.4059999999999997</v>
      </c>
      <c r="U33" s="338">
        <f>100*T33/T$46</f>
        <v>0.67178356554540097</v>
      </c>
      <c r="V33" s="337">
        <v>5.4390000000000001</v>
      </c>
      <c r="W33" s="338">
        <f>100*V33/V$46</f>
        <v>0.78931328728159289</v>
      </c>
      <c r="X33" s="337">
        <v>5.3449999999999998</v>
      </c>
      <c r="Y33" s="338">
        <f>100*X33/X$46</f>
        <v>0.73565540772100968</v>
      </c>
      <c r="Z33" s="337">
        <v>5.5659999999999998</v>
      </c>
      <c r="AA33" s="338">
        <f>100*Z33/Z$46</f>
        <v>0.73952429163245414</v>
      </c>
      <c r="AB33" s="355">
        <v>0</v>
      </c>
      <c r="AC33" s="339">
        <v>5.4889999999999999</v>
      </c>
      <c r="AD33" s="340">
        <f>AB33+AC33</f>
        <v>5.4889999999999999</v>
      </c>
      <c r="AE33" s="356">
        <v>0</v>
      </c>
      <c r="AF33" s="339">
        <v>5.7670000000000003</v>
      </c>
      <c r="AG33" s="340">
        <f>AE33+AF33</f>
        <v>5.7670000000000003</v>
      </c>
      <c r="AH33" s="357">
        <v>0</v>
      </c>
      <c r="AI33" s="339">
        <v>6.9740000000000002</v>
      </c>
      <c r="AJ33" s="340">
        <f>AH33+AI33</f>
        <v>6.9740000000000002</v>
      </c>
      <c r="AK33" s="357"/>
      <c r="AL33" s="339">
        <v>7.2060000000000004</v>
      </c>
      <c r="AM33" s="340">
        <f>AK33+AL33</f>
        <v>7.2060000000000004</v>
      </c>
      <c r="AN33" s="343"/>
      <c r="AO33" s="339">
        <v>5.64</v>
      </c>
      <c r="AP33" s="340">
        <v>5.64</v>
      </c>
      <c r="AQ33" s="342"/>
      <c r="AR33" s="341">
        <v>5.7320000000000002</v>
      </c>
      <c r="AS33" s="344">
        <f>AQ33+AR33</f>
        <v>5.7320000000000002</v>
      </c>
      <c r="AT33" s="342"/>
      <c r="AU33" s="341">
        <v>2.524</v>
      </c>
      <c r="AV33" s="344">
        <v>2.524</v>
      </c>
      <c r="AW33" s="343"/>
      <c r="AX33" s="339">
        <v>3.7120000000000002</v>
      </c>
      <c r="AY33" s="344">
        <f t="shared" si="36"/>
        <v>3.7120000000000002</v>
      </c>
      <c r="AZ33" s="341"/>
      <c r="BA33" s="341">
        <v>2.3079999999999998</v>
      </c>
      <c r="BB33" s="344">
        <f>AZ33+BA33</f>
        <v>2.3079999999999998</v>
      </c>
      <c r="BC33" s="342"/>
      <c r="BD33" s="341">
        <v>1.5289999999999999</v>
      </c>
      <c r="BE33" s="344">
        <f t="shared" si="37"/>
        <v>1.5289999999999999</v>
      </c>
      <c r="BF33" s="351"/>
      <c r="BG33" s="352">
        <v>0</v>
      </c>
      <c r="BH33" s="184">
        <f t="shared" si="38"/>
        <v>0</v>
      </c>
      <c r="BI33" s="189"/>
      <c r="BJ33" s="190">
        <v>0</v>
      </c>
      <c r="BK33" s="184">
        <v>0</v>
      </c>
      <c r="BL33" s="353"/>
      <c r="BM33" s="352" t="e">
        <f>SUMIF([3]DT12!$B$6:$B$81,$A33,[3]DT12!AQ$6:AQ$81)</f>
        <v>#VALUE!</v>
      </c>
      <c r="BN33" s="354" t="e">
        <f t="shared" si="39"/>
        <v>#VALUE!</v>
      </c>
    </row>
    <row r="34" spans="1:66" s="313" customFormat="1">
      <c r="A34" s="350" t="s">
        <v>122</v>
      </c>
      <c r="B34" s="337"/>
      <c r="C34" s="386"/>
      <c r="D34" s="337"/>
      <c r="E34" s="386"/>
      <c r="F34" s="337"/>
      <c r="G34" s="386"/>
      <c r="H34" s="337"/>
      <c r="I34" s="386"/>
      <c r="J34" s="337"/>
      <c r="K34" s="386"/>
      <c r="L34" s="337"/>
      <c r="M34" s="386"/>
      <c r="N34" s="337"/>
      <c r="O34" s="386"/>
      <c r="P34" s="337"/>
      <c r="Q34" s="386"/>
      <c r="R34" s="337"/>
      <c r="S34" s="386"/>
      <c r="T34" s="337"/>
      <c r="U34" s="386"/>
      <c r="V34" s="337">
        <v>9.0999999999999998E-2</v>
      </c>
      <c r="W34" s="338">
        <f>100*V34/V$46</f>
        <v>1.3206013815522147E-2</v>
      </c>
      <c r="X34" s="337">
        <v>0.49099999999999999</v>
      </c>
      <c r="Y34" s="338">
        <f>100*X34/X$46</f>
        <v>6.7578448118057202E-2</v>
      </c>
      <c r="Z34" s="337">
        <v>0.92200000000000004</v>
      </c>
      <c r="AA34" s="338">
        <f>100*Z34/Z$46</f>
        <v>0.12250114927867817</v>
      </c>
      <c r="AB34" s="355">
        <v>0</v>
      </c>
      <c r="AC34" s="339">
        <v>2.032</v>
      </c>
      <c r="AD34" s="340">
        <f>AB34+AC34</f>
        <v>2.032</v>
      </c>
      <c r="AE34" s="356">
        <v>0</v>
      </c>
      <c r="AF34" s="339">
        <v>2.444</v>
      </c>
      <c r="AG34" s="340">
        <f>AE34+AF34</f>
        <v>2.444</v>
      </c>
      <c r="AH34" s="357">
        <v>0</v>
      </c>
      <c r="AI34" s="339">
        <v>2.2719999999999998</v>
      </c>
      <c r="AJ34" s="340">
        <f>AH34+AI34</f>
        <v>2.2719999999999998</v>
      </c>
      <c r="AK34" s="357"/>
      <c r="AL34" s="339">
        <v>2.298</v>
      </c>
      <c r="AM34" s="340">
        <f>AK34+AL34</f>
        <v>2.298</v>
      </c>
      <c r="AN34" s="343"/>
      <c r="AO34" s="339">
        <v>2.254</v>
      </c>
      <c r="AP34" s="340">
        <v>2.254</v>
      </c>
      <c r="AQ34" s="342"/>
      <c r="AR34" s="341">
        <v>2.4529999999999998</v>
      </c>
      <c r="AS34" s="344">
        <f>AQ34+AR34</f>
        <v>2.4529999999999998</v>
      </c>
      <c r="AT34" s="342"/>
      <c r="AU34" s="341">
        <v>2.3860000000000001</v>
      </c>
      <c r="AV34" s="344">
        <v>2.3860000000000001</v>
      </c>
      <c r="AW34" s="343"/>
      <c r="AX34" s="339">
        <v>1.2E-2</v>
      </c>
      <c r="AY34" s="344">
        <f t="shared" si="36"/>
        <v>1.2E-2</v>
      </c>
      <c r="AZ34" s="341"/>
      <c r="BA34" s="341">
        <f>0.859+0.906</f>
        <v>1.7650000000000001</v>
      </c>
      <c r="BB34" s="344">
        <f>AZ34+BA34</f>
        <v>1.7650000000000001</v>
      </c>
      <c r="BC34" s="342"/>
      <c r="BD34" s="341">
        <v>2.2469999999999999</v>
      </c>
      <c r="BE34" s="344">
        <f t="shared" si="37"/>
        <v>2.2469999999999999</v>
      </c>
      <c r="BF34" s="351"/>
      <c r="BG34" s="352">
        <v>2.31</v>
      </c>
      <c r="BH34" s="184">
        <f t="shared" si="38"/>
        <v>2.31</v>
      </c>
      <c r="BI34" s="189"/>
      <c r="BJ34" s="190">
        <v>0.90900000000000003</v>
      </c>
      <c r="BK34" s="184">
        <v>0.90900000000000003</v>
      </c>
      <c r="BL34" s="353"/>
      <c r="BM34" s="352">
        <f>[3]DT12!AR40+[3]DT12!AR13+[3]DT12!AR12</f>
        <v>0.317</v>
      </c>
      <c r="BN34" s="354">
        <f t="shared" si="39"/>
        <v>0.317</v>
      </c>
    </row>
    <row r="35" spans="1:66" s="313" customFormat="1">
      <c r="A35" s="350" t="s">
        <v>247</v>
      </c>
      <c r="B35" s="337"/>
      <c r="C35" s="386"/>
      <c r="D35" s="337"/>
      <c r="E35" s="386"/>
      <c r="F35" s="337"/>
      <c r="G35" s="386"/>
      <c r="H35" s="337"/>
      <c r="I35" s="386"/>
      <c r="J35" s="337"/>
      <c r="K35" s="386"/>
      <c r="L35" s="337"/>
      <c r="M35" s="386"/>
      <c r="N35" s="337"/>
      <c r="O35" s="386"/>
      <c r="P35" s="337"/>
      <c r="Q35" s="386"/>
      <c r="R35" s="337"/>
      <c r="S35" s="386"/>
      <c r="T35" s="337"/>
      <c r="U35" s="386"/>
      <c r="V35" s="337"/>
      <c r="W35" s="386"/>
      <c r="X35" s="337"/>
      <c r="Y35" s="386"/>
      <c r="Z35" s="337"/>
      <c r="AA35" s="386"/>
      <c r="AB35" s="355"/>
      <c r="AC35" s="355"/>
      <c r="AD35" s="379"/>
      <c r="AE35" s="356"/>
      <c r="AF35" s="355"/>
      <c r="AG35" s="379"/>
      <c r="AH35" s="357"/>
      <c r="AI35" s="355"/>
      <c r="AJ35" s="379"/>
      <c r="AK35" s="357"/>
      <c r="AL35" s="339"/>
      <c r="AM35" s="340"/>
      <c r="AN35" s="343"/>
      <c r="AO35" s="339">
        <v>8.1000000000000003E-2</v>
      </c>
      <c r="AP35" s="340">
        <v>8.1000000000000003E-2</v>
      </c>
      <c r="AQ35" s="342"/>
      <c r="AR35" s="341">
        <v>1.845</v>
      </c>
      <c r="AS35" s="344">
        <f>AQ35+AR35</f>
        <v>1.845</v>
      </c>
      <c r="AT35" s="342"/>
      <c r="AU35" s="341">
        <v>9.2609999999999992</v>
      </c>
      <c r="AV35" s="344">
        <v>9.2609999999999992</v>
      </c>
      <c r="AW35" s="343"/>
      <c r="AX35" s="339">
        <v>16.841999999999999</v>
      </c>
      <c r="AY35" s="344">
        <f t="shared" si="36"/>
        <v>16.841999999999999</v>
      </c>
      <c r="AZ35" s="341"/>
      <c r="BA35" s="341">
        <v>17.100999999999999</v>
      </c>
      <c r="BB35" s="344">
        <f t="shared" ref="BB35:BB40" si="40">AZ35+BA35</f>
        <v>17.100999999999999</v>
      </c>
      <c r="BC35" s="342"/>
      <c r="BD35" s="341">
        <v>17.960999999999999</v>
      </c>
      <c r="BE35" s="344">
        <f t="shared" si="37"/>
        <v>17.960999999999999</v>
      </c>
      <c r="BF35" s="351"/>
      <c r="BG35" s="352">
        <v>18.001000000000001</v>
      </c>
      <c r="BH35" s="184">
        <f t="shared" si="38"/>
        <v>18.001000000000001</v>
      </c>
      <c r="BI35" s="189"/>
      <c r="BJ35" s="190">
        <v>18.783000000000001</v>
      </c>
      <c r="BK35" s="184">
        <v>18.783000000000001</v>
      </c>
      <c r="BL35" s="353"/>
      <c r="BM35" s="352" t="e">
        <f>SUMIF([3]DT12!$B$6:$B$81,$A35,[3]DT12!AQ$6:AQ$81)</f>
        <v>#VALUE!</v>
      </c>
      <c r="BN35" s="354" t="e">
        <f t="shared" si="39"/>
        <v>#VALUE!</v>
      </c>
    </row>
    <row r="36" spans="1:66" s="313" customFormat="1">
      <c r="A36" s="350" t="s">
        <v>142</v>
      </c>
      <c r="B36" s="337"/>
      <c r="C36" s="386"/>
      <c r="D36" s="337"/>
      <c r="E36" s="386"/>
      <c r="F36" s="337"/>
      <c r="G36" s="386"/>
      <c r="H36" s="337"/>
      <c r="I36" s="386"/>
      <c r="J36" s="337"/>
      <c r="K36" s="386"/>
      <c r="L36" s="337"/>
      <c r="M36" s="386"/>
      <c r="N36" s="337"/>
      <c r="O36" s="386"/>
      <c r="P36" s="337"/>
      <c r="Q36" s="386"/>
      <c r="R36" s="337"/>
      <c r="S36" s="386"/>
      <c r="T36" s="337"/>
      <c r="U36" s="386"/>
      <c r="V36" s="337"/>
      <c r="W36" s="386"/>
      <c r="X36" s="337"/>
      <c r="Y36" s="386"/>
      <c r="Z36" s="337"/>
      <c r="AA36" s="386"/>
      <c r="AB36" s="355">
        <v>0</v>
      </c>
      <c r="AC36" s="339">
        <v>4.8000000000000001E-2</v>
      </c>
      <c r="AD36" s="340">
        <f>AB36+AC36</f>
        <v>4.8000000000000001E-2</v>
      </c>
      <c r="AE36" s="356">
        <v>0</v>
      </c>
      <c r="AF36" s="339">
        <v>0.13700000000000001</v>
      </c>
      <c r="AG36" s="340">
        <f>AE36+AF36</f>
        <v>0.13700000000000001</v>
      </c>
      <c r="AH36" s="357">
        <v>0</v>
      </c>
      <c r="AI36" s="339">
        <v>0.10199999999999999</v>
      </c>
      <c r="AJ36" s="340">
        <f>AH36+AI36</f>
        <v>0.10199999999999999</v>
      </c>
      <c r="AK36" s="357"/>
      <c r="AL36" s="339">
        <v>0.16400000000000001</v>
      </c>
      <c r="AM36" s="340">
        <f>AK36+AL36</f>
        <v>0.16400000000000001</v>
      </c>
      <c r="AN36" s="343"/>
      <c r="AO36" s="339">
        <v>0.24399999999999999</v>
      </c>
      <c r="AP36" s="340">
        <v>0.24399999999999999</v>
      </c>
      <c r="AQ36" s="342"/>
      <c r="AR36" s="341">
        <v>0.159</v>
      </c>
      <c r="AS36" s="344">
        <f>AQ36+AR36</f>
        <v>0.159</v>
      </c>
      <c r="AT36" s="342"/>
      <c r="AU36" s="341">
        <v>0.19600000000000001</v>
      </c>
      <c r="AV36" s="344">
        <v>0.19600000000000001</v>
      </c>
      <c r="AW36" s="343"/>
      <c r="AX36" s="339">
        <v>0.16300000000000001</v>
      </c>
      <c r="AY36" s="344">
        <f t="shared" si="36"/>
        <v>0.16300000000000001</v>
      </c>
      <c r="AZ36" s="341"/>
      <c r="BA36" s="341">
        <v>0.156</v>
      </c>
      <c r="BB36" s="344">
        <f t="shared" si="40"/>
        <v>0.156</v>
      </c>
      <c r="BC36" s="342"/>
      <c r="BD36" s="341">
        <v>0.26200000000000001</v>
      </c>
      <c r="BE36" s="344">
        <f t="shared" si="37"/>
        <v>0.26200000000000001</v>
      </c>
      <c r="BF36" s="351"/>
      <c r="BG36" s="352">
        <v>0.27</v>
      </c>
      <c r="BH36" s="184">
        <f t="shared" si="38"/>
        <v>0.27</v>
      </c>
      <c r="BI36" s="189"/>
      <c r="BJ36" s="190">
        <v>0.224</v>
      </c>
      <c r="BK36" s="184">
        <v>0.224</v>
      </c>
      <c r="BL36" s="353"/>
      <c r="BM36" s="352" t="e">
        <f>SUMIF([3]DT12!$B$6:$B$81,$A36,[3]DT12!AQ$6:AQ$81)</f>
        <v>#VALUE!</v>
      </c>
      <c r="BN36" s="354" t="e">
        <f t="shared" si="39"/>
        <v>#VALUE!</v>
      </c>
    </row>
    <row r="37" spans="1:66" s="313" customFormat="1">
      <c r="A37" s="350" t="s">
        <v>298</v>
      </c>
      <c r="B37" s="337"/>
      <c r="C37" s="386"/>
      <c r="D37" s="337"/>
      <c r="E37" s="386"/>
      <c r="F37" s="337"/>
      <c r="G37" s="386"/>
      <c r="H37" s="337"/>
      <c r="I37" s="386"/>
      <c r="J37" s="337"/>
      <c r="K37" s="386"/>
      <c r="L37" s="337"/>
      <c r="M37" s="386"/>
      <c r="N37" s="337"/>
      <c r="O37" s="386"/>
      <c r="P37" s="337"/>
      <c r="Q37" s="386"/>
      <c r="R37" s="337"/>
      <c r="S37" s="386"/>
      <c r="T37" s="337"/>
      <c r="U37" s="386"/>
      <c r="V37" s="337"/>
      <c r="W37" s="386"/>
      <c r="X37" s="337"/>
      <c r="Y37" s="386"/>
      <c r="Z37" s="337"/>
      <c r="AA37" s="386"/>
      <c r="AB37" s="355"/>
      <c r="AC37" s="339"/>
      <c r="AD37" s="340"/>
      <c r="AE37" s="356"/>
      <c r="AF37" s="339"/>
      <c r="AG37" s="340"/>
      <c r="AH37" s="357"/>
      <c r="AI37" s="339"/>
      <c r="AJ37" s="340"/>
      <c r="AK37" s="357"/>
      <c r="AL37" s="339"/>
      <c r="AM37" s="340"/>
      <c r="AN37" s="343"/>
      <c r="AO37" s="339"/>
      <c r="AP37" s="340"/>
      <c r="AQ37" s="342"/>
      <c r="AR37" s="341"/>
      <c r="AS37" s="344"/>
      <c r="AT37" s="342"/>
      <c r="AU37" s="341"/>
      <c r="AV37" s="344"/>
      <c r="AW37" s="343"/>
      <c r="AX37" s="339">
        <v>1.8740000000000001</v>
      </c>
      <c r="AY37" s="344">
        <f t="shared" si="36"/>
        <v>1.8740000000000001</v>
      </c>
      <c r="AZ37" s="341"/>
      <c r="BA37" s="341">
        <v>1.62</v>
      </c>
      <c r="BB37" s="344">
        <f t="shared" si="40"/>
        <v>1.62</v>
      </c>
      <c r="BC37" s="342"/>
      <c r="BD37" s="341">
        <v>1.764</v>
      </c>
      <c r="BE37" s="344">
        <f t="shared" si="37"/>
        <v>1.764</v>
      </c>
      <c r="BF37" s="351"/>
      <c r="BG37" s="352">
        <v>1.948</v>
      </c>
      <c r="BH37" s="184">
        <f t="shared" si="38"/>
        <v>1.948</v>
      </c>
      <c r="BI37" s="189"/>
      <c r="BJ37" s="190">
        <v>1.887</v>
      </c>
      <c r="BK37" s="184">
        <v>1.887</v>
      </c>
      <c r="BL37" s="353"/>
      <c r="BM37" s="352" t="e">
        <f>SUMIF([3]DT12!$B$6:$B$81,$A37,[3]DT12!AQ$6:AQ$81)</f>
        <v>#VALUE!</v>
      </c>
      <c r="BN37" s="354" t="e">
        <f t="shared" si="39"/>
        <v>#VALUE!</v>
      </c>
    </row>
    <row r="38" spans="1:66" s="313" customFormat="1">
      <c r="A38" s="350" t="s">
        <v>295</v>
      </c>
      <c r="B38" s="337"/>
      <c r="C38" s="386"/>
      <c r="D38" s="337"/>
      <c r="E38" s="386"/>
      <c r="F38" s="337"/>
      <c r="G38" s="386"/>
      <c r="H38" s="337"/>
      <c r="I38" s="386"/>
      <c r="J38" s="337"/>
      <c r="K38" s="386"/>
      <c r="L38" s="337"/>
      <c r="M38" s="386"/>
      <c r="N38" s="337"/>
      <c r="O38" s="386"/>
      <c r="P38" s="337"/>
      <c r="Q38" s="386"/>
      <c r="R38" s="337"/>
      <c r="S38" s="386"/>
      <c r="T38" s="337"/>
      <c r="U38" s="386"/>
      <c r="V38" s="337"/>
      <c r="W38" s="386"/>
      <c r="X38" s="337"/>
      <c r="Y38" s="386"/>
      <c r="Z38" s="337"/>
      <c r="AA38" s="386"/>
      <c r="AB38" s="355"/>
      <c r="AC38" s="339"/>
      <c r="AD38" s="340"/>
      <c r="AE38" s="356"/>
      <c r="AF38" s="339"/>
      <c r="AG38" s="340"/>
      <c r="AH38" s="357"/>
      <c r="AI38" s="339"/>
      <c r="AJ38" s="340"/>
      <c r="AK38" s="357"/>
      <c r="AL38" s="339"/>
      <c r="AM38" s="340"/>
      <c r="AN38" s="343"/>
      <c r="AO38" s="339"/>
      <c r="AP38" s="340"/>
      <c r="AQ38" s="342"/>
      <c r="AR38" s="341"/>
      <c r="AS38" s="344"/>
      <c r="AT38" s="342"/>
      <c r="AU38" s="341"/>
      <c r="AV38" s="344"/>
      <c r="AW38" s="343"/>
      <c r="AX38" s="339">
        <v>0.42499999999999999</v>
      </c>
      <c r="AY38" s="344">
        <f t="shared" si="36"/>
        <v>0.42499999999999999</v>
      </c>
      <c r="AZ38" s="341"/>
      <c r="BA38" s="341">
        <v>0.28000000000000003</v>
      </c>
      <c r="BB38" s="344">
        <f t="shared" si="40"/>
        <v>0.28000000000000003</v>
      </c>
      <c r="BC38" s="342"/>
      <c r="BD38" s="341">
        <v>0.27600000000000002</v>
      </c>
      <c r="BE38" s="344">
        <f t="shared" si="37"/>
        <v>0.27600000000000002</v>
      </c>
      <c r="BF38" s="351"/>
      <c r="BG38" s="352">
        <v>0</v>
      </c>
      <c r="BH38" s="184">
        <f t="shared" si="38"/>
        <v>0</v>
      </c>
      <c r="BI38" s="189"/>
      <c r="BJ38" s="190">
        <v>0</v>
      </c>
      <c r="BK38" s="184">
        <v>0</v>
      </c>
      <c r="BL38" s="353"/>
      <c r="BM38" s="352" t="e">
        <f>SUMIF([3]DT12!$B$6:$B$81,$A38,[3]DT12!AQ$6:AQ$81)</f>
        <v>#VALUE!</v>
      </c>
      <c r="BN38" s="354" t="e">
        <f t="shared" si="39"/>
        <v>#VALUE!</v>
      </c>
    </row>
    <row r="39" spans="1:66" s="313" customFormat="1">
      <c r="A39" s="350" t="s">
        <v>296</v>
      </c>
      <c r="B39" s="337"/>
      <c r="C39" s="386"/>
      <c r="D39" s="337"/>
      <c r="E39" s="386"/>
      <c r="F39" s="337"/>
      <c r="G39" s="386"/>
      <c r="H39" s="337"/>
      <c r="I39" s="386"/>
      <c r="J39" s="337"/>
      <c r="K39" s="386"/>
      <c r="L39" s="337"/>
      <c r="M39" s="386"/>
      <c r="N39" s="337"/>
      <c r="O39" s="386"/>
      <c r="P39" s="337"/>
      <c r="Q39" s="386"/>
      <c r="R39" s="337"/>
      <c r="S39" s="386"/>
      <c r="T39" s="337"/>
      <c r="U39" s="386"/>
      <c r="V39" s="337"/>
      <c r="W39" s="386"/>
      <c r="X39" s="337"/>
      <c r="Y39" s="386"/>
      <c r="Z39" s="337"/>
      <c r="AA39" s="386"/>
      <c r="AB39" s="355"/>
      <c r="AC39" s="339"/>
      <c r="AD39" s="340"/>
      <c r="AE39" s="356"/>
      <c r="AF39" s="339"/>
      <c r="AG39" s="340"/>
      <c r="AH39" s="357"/>
      <c r="AI39" s="339"/>
      <c r="AJ39" s="340"/>
      <c r="AK39" s="357"/>
      <c r="AL39" s="339"/>
      <c r="AM39" s="340"/>
      <c r="AN39" s="343"/>
      <c r="AO39" s="339"/>
      <c r="AP39" s="340"/>
      <c r="AQ39" s="342"/>
      <c r="AR39" s="341"/>
      <c r="AS39" s="344"/>
      <c r="AT39" s="342"/>
      <c r="AU39" s="341"/>
      <c r="AV39" s="344"/>
      <c r="AW39" s="343"/>
      <c r="AX39" s="339">
        <v>7.9000000000000001E-2</v>
      </c>
      <c r="AY39" s="344">
        <f t="shared" si="36"/>
        <v>7.9000000000000001E-2</v>
      </c>
      <c r="AZ39" s="341"/>
      <c r="BA39" s="341">
        <v>0.221</v>
      </c>
      <c r="BB39" s="344">
        <f t="shared" si="40"/>
        <v>0.221</v>
      </c>
      <c r="BC39" s="342"/>
      <c r="BD39" s="341">
        <v>0</v>
      </c>
      <c r="BE39" s="344">
        <f t="shared" si="37"/>
        <v>0</v>
      </c>
      <c r="BF39" s="351"/>
      <c r="BG39" s="352">
        <v>0.56299999999999994</v>
      </c>
      <c r="BH39" s="184">
        <f t="shared" si="38"/>
        <v>0.56299999999999994</v>
      </c>
      <c r="BI39" s="189"/>
      <c r="BJ39" s="190">
        <v>0.874</v>
      </c>
      <c r="BK39" s="184">
        <v>0.874</v>
      </c>
      <c r="BL39" s="353"/>
      <c r="BM39" s="352" t="e">
        <f>SUMIF([3]DT12!$B$6:$B$81,$A39,[3]DT12!AQ$6:AQ$81)</f>
        <v>#VALUE!</v>
      </c>
      <c r="BN39" s="354" t="e">
        <f t="shared" si="39"/>
        <v>#VALUE!</v>
      </c>
    </row>
    <row r="40" spans="1:66" s="313" customFormat="1">
      <c r="A40" s="350" t="s">
        <v>297</v>
      </c>
      <c r="B40" s="337"/>
      <c r="C40" s="386"/>
      <c r="D40" s="337"/>
      <c r="E40" s="386"/>
      <c r="F40" s="337"/>
      <c r="G40" s="386"/>
      <c r="H40" s="337"/>
      <c r="I40" s="386"/>
      <c r="J40" s="337"/>
      <c r="K40" s="386"/>
      <c r="L40" s="337"/>
      <c r="M40" s="386"/>
      <c r="N40" s="337"/>
      <c r="O40" s="386"/>
      <c r="P40" s="337"/>
      <c r="Q40" s="386"/>
      <c r="R40" s="337"/>
      <c r="S40" s="386"/>
      <c r="T40" s="337"/>
      <c r="U40" s="386"/>
      <c r="V40" s="337"/>
      <c r="W40" s="386"/>
      <c r="X40" s="337"/>
      <c r="Y40" s="386"/>
      <c r="Z40" s="337"/>
      <c r="AA40" s="386"/>
      <c r="AB40" s="355"/>
      <c r="AC40" s="339"/>
      <c r="AD40" s="340"/>
      <c r="AE40" s="356"/>
      <c r="AF40" s="339"/>
      <c r="AG40" s="340"/>
      <c r="AH40" s="357"/>
      <c r="AI40" s="339"/>
      <c r="AJ40" s="340"/>
      <c r="AK40" s="357"/>
      <c r="AL40" s="339"/>
      <c r="AM40" s="340"/>
      <c r="AN40" s="343"/>
      <c r="AO40" s="339"/>
      <c r="AP40" s="340"/>
      <c r="AQ40" s="342"/>
      <c r="AR40" s="341"/>
      <c r="AS40" s="344"/>
      <c r="AT40" s="342"/>
      <c r="AU40" s="341"/>
      <c r="AV40" s="344"/>
      <c r="AW40" s="343"/>
      <c r="AX40" s="339">
        <v>2.7959999999999998</v>
      </c>
      <c r="AY40" s="344">
        <f t="shared" si="36"/>
        <v>2.7959999999999998</v>
      </c>
      <c r="AZ40" s="341"/>
      <c r="BA40" s="341">
        <v>2.8029999999999999</v>
      </c>
      <c r="BB40" s="344">
        <f t="shared" si="40"/>
        <v>2.8029999999999999</v>
      </c>
      <c r="BC40" s="342"/>
      <c r="BD40" s="341">
        <v>2.8</v>
      </c>
      <c r="BE40" s="344">
        <f t="shared" si="37"/>
        <v>2.8</v>
      </c>
      <c r="BF40" s="351"/>
      <c r="BG40" s="352">
        <v>2.7989999999999999</v>
      </c>
      <c r="BH40" s="184">
        <f t="shared" si="38"/>
        <v>2.7989999999999999</v>
      </c>
      <c r="BI40" s="189"/>
      <c r="BJ40" s="190">
        <v>2.8</v>
      </c>
      <c r="BK40" s="184">
        <v>2.8</v>
      </c>
      <c r="BL40" s="353"/>
      <c r="BM40" s="352" t="e">
        <f>SUMIF([3]DT12!$B$6:$B$81,$A40,[3]DT12!AQ$6:AQ$81)</f>
        <v>#VALUE!</v>
      </c>
      <c r="BN40" s="354" t="e">
        <f t="shared" si="39"/>
        <v>#VALUE!</v>
      </c>
    </row>
    <row r="41" spans="1:66" s="313" customFormat="1">
      <c r="A41" s="358" t="s">
        <v>305</v>
      </c>
      <c r="B41" s="337"/>
      <c r="C41" s="386"/>
      <c r="D41" s="337"/>
      <c r="E41" s="386"/>
      <c r="F41" s="337"/>
      <c r="G41" s="386"/>
      <c r="H41" s="337"/>
      <c r="I41" s="386"/>
      <c r="J41" s="337"/>
      <c r="K41" s="386"/>
      <c r="L41" s="337"/>
      <c r="M41" s="386"/>
      <c r="N41" s="337"/>
      <c r="O41" s="386"/>
      <c r="P41" s="337"/>
      <c r="Q41" s="386"/>
      <c r="R41" s="337"/>
      <c r="S41" s="386"/>
      <c r="T41" s="337"/>
      <c r="U41" s="386"/>
      <c r="V41" s="337"/>
      <c r="W41" s="386"/>
      <c r="X41" s="337"/>
      <c r="Y41" s="386"/>
      <c r="Z41" s="337"/>
      <c r="AA41" s="386"/>
      <c r="AB41" s="355"/>
      <c r="AC41" s="339"/>
      <c r="AD41" s="340"/>
      <c r="AE41" s="356"/>
      <c r="AF41" s="339"/>
      <c r="AG41" s="340"/>
      <c r="AH41" s="357"/>
      <c r="AI41" s="339"/>
      <c r="AJ41" s="340"/>
      <c r="AK41" s="357"/>
      <c r="AL41" s="339"/>
      <c r="AM41" s="340"/>
      <c r="AN41" s="343"/>
      <c r="AO41" s="339"/>
      <c r="AP41" s="340"/>
      <c r="AQ41" s="342"/>
      <c r="AR41" s="341"/>
      <c r="AS41" s="344"/>
      <c r="AT41" s="342"/>
      <c r="AU41" s="341"/>
      <c r="AV41" s="344"/>
      <c r="AW41" s="343"/>
      <c r="AX41" s="339"/>
      <c r="AY41" s="344"/>
      <c r="AZ41" s="341"/>
      <c r="BA41" s="341">
        <v>1.4999999999999999E-2</v>
      </c>
      <c r="BB41" s="344">
        <f>AZ41+BA41</f>
        <v>1.4999999999999999E-2</v>
      </c>
      <c r="BC41" s="342"/>
      <c r="BD41" s="341">
        <v>7.1999999999999995E-2</v>
      </c>
      <c r="BE41" s="344">
        <f>BC41+BD41</f>
        <v>7.1999999999999995E-2</v>
      </c>
      <c r="BF41" s="351"/>
      <c r="BG41" s="352">
        <v>0.10299999999999999</v>
      </c>
      <c r="BH41" s="184">
        <f>BF41+BG41</f>
        <v>0.10299999999999999</v>
      </c>
      <c r="BI41" s="189"/>
      <c r="BJ41" s="190">
        <v>0.182</v>
      </c>
      <c r="BK41" s="184">
        <v>0.182</v>
      </c>
      <c r="BL41" s="353"/>
      <c r="BM41" s="352" t="e">
        <f>SUMIF([3]DT12!$B$6:$B$81,$A41,[3]DT12!AQ$6:AQ$81)</f>
        <v>#VALUE!</v>
      </c>
      <c r="BN41" s="354" t="e">
        <f>BL41+BM41</f>
        <v>#VALUE!</v>
      </c>
    </row>
    <row r="42" spans="1:66" s="313" customFormat="1">
      <c r="A42" s="358" t="s">
        <v>227</v>
      </c>
      <c r="B42" s="337"/>
      <c r="C42" s="386"/>
      <c r="D42" s="337"/>
      <c r="E42" s="386"/>
      <c r="F42" s="337"/>
      <c r="G42" s="386"/>
      <c r="H42" s="337"/>
      <c r="I42" s="386"/>
      <c r="J42" s="337"/>
      <c r="K42" s="386"/>
      <c r="L42" s="337"/>
      <c r="M42" s="386"/>
      <c r="N42" s="337"/>
      <c r="O42" s="386"/>
      <c r="P42" s="337"/>
      <c r="Q42" s="386"/>
      <c r="R42" s="337"/>
      <c r="S42" s="386"/>
      <c r="T42" s="337"/>
      <c r="U42" s="386"/>
      <c r="V42" s="337"/>
      <c r="W42" s="386"/>
      <c r="X42" s="337"/>
      <c r="Y42" s="386"/>
      <c r="Z42" s="337"/>
      <c r="AA42" s="386"/>
      <c r="AB42" s="355"/>
      <c r="AC42" s="339"/>
      <c r="AD42" s="340"/>
      <c r="AE42" s="356"/>
      <c r="AF42" s="339"/>
      <c r="AG42" s="340"/>
      <c r="AH42" s="357"/>
      <c r="AI42" s="339"/>
      <c r="AJ42" s="340"/>
      <c r="AK42" s="357"/>
      <c r="AL42" s="339"/>
      <c r="AM42" s="340"/>
      <c r="AN42" s="343"/>
      <c r="AO42" s="339"/>
      <c r="AP42" s="340"/>
      <c r="AQ42" s="342"/>
      <c r="AR42" s="341"/>
      <c r="AS42" s="344"/>
      <c r="AT42" s="342"/>
      <c r="AU42" s="341"/>
      <c r="AV42" s="344"/>
      <c r="AW42" s="343"/>
      <c r="AX42" s="339"/>
      <c r="AY42" s="344"/>
      <c r="AZ42" s="341"/>
      <c r="BA42" s="341"/>
      <c r="BB42" s="344">
        <f>AZ42+BA42</f>
        <v>0</v>
      </c>
      <c r="BC42" s="342"/>
      <c r="BD42" s="341">
        <v>0.17299999999999999</v>
      </c>
      <c r="BE42" s="344">
        <f>BC42+BD42</f>
        <v>0.17299999999999999</v>
      </c>
      <c r="BF42" s="351"/>
      <c r="BG42" s="352">
        <v>0.30199999999999999</v>
      </c>
      <c r="BH42" s="184">
        <f>BF42+BG42</f>
        <v>0.30199999999999999</v>
      </c>
      <c r="BI42" s="189"/>
      <c r="BJ42" s="190">
        <v>0.28399999999999997</v>
      </c>
      <c r="BK42" s="184">
        <v>0.28399999999999997</v>
      </c>
      <c r="BL42" s="353"/>
      <c r="BM42" s="352" t="e">
        <f>SUMIF([3]DT12!$B$6:$B$81,$A42,[3]DT12!AQ$6:AQ$81)</f>
        <v>#VALUE!</v>
      </c>
      <c r="BN42" s="354" t="e">
        <f>BL42+BM42</f>
        <v>#VALUE!</v>
      </c>
    </row>
    <row r="43" spans="1:66" s="313" customFormat="1">
      <c r="A43" s="358" t="s">
        <v>324</v>
      </c>
      <c r="B43" s="337"/>
      <c r="C43" s="386"/>
      <c r="D43" s="337"/>
      <c r="E43" s="386"/>
      <c r="F43" s="337"/>
      <c r="G43" s="386"/>
      <c r="H43" s="337"/>
      <c r="I43" s="386"/>
      <c r="J43" s="337"/>
      <c r="K43" s="386"/>
      <c r="L43" s="337"/>
      <c r="M43" s="386"/>
      <c r="N43" s="337"/>
      <c r="O43" s="386"/>
      <c r="P43" s="337"/>
      <c r="Q43" s="386"/>
      <c r="R43" s="337"/>
      <c r="S43" s="386"/>
      <c r="T43" s="337"/>
      <c r="U43" s="386"/>
      <c r="V43" s="337"/>
      <c r="W43" s="386"/>
      <c r="X43" s="337"/>
      <c r="Y43" s="386"/>
      <c r="Z43" s="337"/>
      <c r="AA43" s="386"/>
      <c r="AB43" s="355"/>
      <c r="AC43" s="339"/>
      <c r="AD43" s="340"/>
      <c r="AE43" s="356"/>
      <c r="AF43" s="339"/>
      <c r="AG43" s="340"/>
      <c r="AH43" s="357"/>
      <c r="AI43" s="339"/>
      <c r="AJ43" s="340"/>
      <c r="AK43" s="357"/>
      <c r="AL43" s="339"/>
      <c r="AM43" s="340"/>
      <c r="AN43" s="343"/>
      <c r="AO43" s="339"/>
      <c r="AP43" s="340"/>
      <c r="AQ43" s="342"/>
      <c r="AR43" s="341"/>
      <c r="AS43" s="344"/>
      <c r="AT43" s="342"/>
      <c r="AU43" s="341"/>
      <c r="AV43" s="344"/>
      <c r="AW43" s="343"/>
      <c r="AX43" s="339"/>
      <c r="AY43" s="344"/>
      <c r="AZ43" s="341"/>
      <c r="BA43" s="341"/>
      <c r="BB43" s="344"/>
      <c r="BC43" s="342"/>
      <c r="BD43" s="341"/>
      <c r="BE43" s="344"/>
      <c r="BF43" s="351"/>
      <c r="BG43" s="352">
        <v>0.1</v>
      </c>
      <c r="BH43" s="184">
        <f>BF43+BG43</f>
        <v>0.1</v>
      </c>
      <c r="BI43" s="189"/>
      <c r="BJ43" s="190">
        <v>0.38600000000000001</v>
      </c>
      <c r="BK43" s="184">
        <v>0.38600000000000001</v>
      </c>
      <c r="BL43" s="353"/>
      <c r="BM43" s="352" t="e">
        <f>SUMIF([3]DT12!$B$6:$B$81,$A43,[3]DT12!AQ$6:AQ$81)</f>
        <v>#VALUE!</v>
      </c>
      <c r="BN43" s="354" t="e">
        <f>BL43+BM43</f>
        <v>#VALUE!</v>
      </c>
    </row>
    <row r="44" spans="1:66" s="313" customFormat="1">
      <c r="A44" s="388" t="s">
        <v>323</v>
      </c>
      <c r="B44" s="337"/>
      <c r="C44" s="386"/>
      <c r="D44" s="337"/>
      <c r="E44" s="386"/>
      <c r="F44" s="337"/>
      <c r="G44" s="386"/>
      <c r="H44" s="337"/>
      <c r="I44" s="386"/>
      <c r="J44" s="337"/>
      <c r="K44" s="386"/>
      <c r="L44" s="337"/>
      <c r="M44" s="386"/>
      <c r="N44" s="337"/>
      <c r="O44" s="386"/>
      <c r="P44" s="337"/>
      <c r="Q44" s="386"/>
      <c r="R44" s="337"/>
      <c r="S44" s="386"/>
      <c r="T44" s="337"/>
      <c r="U44" s="386"/>
      <c r="V44" s="337"/>
      <c r="W44" s="386"/>
      <c r="X44" s="337"/>
      <c r="Y44" s="386"/>
      <c r="Z44" s="337"/>
      <c r="AA44" s="386"/>
      <c r="AB44" s="355"/>
      <c r="AC44" s="339"/>
      <c r="AD44" s="340"/>
      <c r="AE44" s="356"/>
      <c r="AF44" s="339"/>
      <c r="AG44" s="340"/>
      <c r="AH44" s="357"/>
      <c r="AI44" s="339"/>
      <c r="AJ44" s="340"/>
      <c r="AK44" s="357"/>
      <c r="AL44" s="339"/>
      <c r="AM44" s="340"/>
      <c r="AN44" s="343"/>
      <c r="AO44" s="339"/>
      <c r="AP44" s="340"/>
      <c r="AQ44" s="342"/>
      <c r="AR44" s="341"/>
      <c r="AS44" s="344"/>
      <c r="AT44" s="342"/>
      <c r="AU44" s="341"/>
      <c r="AV44" s="344"/>
      <c r="AW44" s="343"/>
      <c r="AX44" s="339"/>
      <c r="AY44" s="344"/>
      <c r="AZ44" s="341"/>
      <c r="BA44" s="341"/>
      <c r="BB44" s="344"/>
      <c r="BC44" s="342"/>
      <c r="BD44" s="341"/>
      <c r="BE44" s="344"/>
      <c r="BF44" s="361"/>
      <c r="BG44" s="362">
        <v>0.161</v>
      </c>
      <c r="BH44" s="363">
        <f>BF44+BG44</f>
        <v>0.161</v>
      </c>
      <c r="BI44" s="364"/>
      <c r="BJ44" s="365">
        <v>0.115</v>
      </c>
      <c r="BK44" s="363">
        <v>0.115</v>
      </c>
      <c r="BL44" s="366"/>
      <c r="BM44" s="362" t="e">
        <f>SUMIF([3]DT12!$B$6:$B$81,$A44,[3]DT12!AQ$6:AQ$81)</f>
        <v>#VALUE!</v>
      </c>
      <c r="BN44" s="367" t="e">
        <f>BL44+BM44</f>
        <v>#VALUE!</v>
      </c>
    </row>
    <row r="45" spans="1:66" s="335" customFormat="1" ht="11.85" customHeight="1">
      <c r="A45" s="368" t="s">
        <v>100</v>
      </c>
      <c r="B45" s="369">
        <f t="shared" ref="B45:AJ45" si="41">SUM(B30:B44)</f>
        <v>245.15100000000001</v>
      </c>
      <c r="C45" s="369">
        <f t="shared" si="41"/>
        <v>50.669877227067921</v>
      </c>
      <c r="D45" s="369">
        <f t="shared" si="41"/>
        <v>253.39600000000002</v>
      </c>
      <c r="E45" s="369">
        <f t="shared" si="41"/>
        <v>50.755942985794512</v>
      </c>
      <c r="F45" s="369">
        <f t="shared" si="41"/>
        <v>270.57099999999997</v>
      </c>
      <c r="G45" s="369">
        <f t="shared" si="41"/>
        <v>50.765599524185667</v>
      </c>
      <c r="H45" s="369">
        <f t="shared" si="41"/>
        <v>286.94</v>
      </c>
      <c r="I45" s="369">
        <f t="shared" si="41"/>
        <v>50.754220379515772</v>
      </c>
      <c r="J45" s="369">
        <f t="shared" si="41"/>
        <v>296.45899999999995</v>
      </c>
      <c r="K45" s="369">
        <f t="shared" si="41"/>
        <v>50.721491092998264</v>
      </c>
      <c r="L45" s="369">
        <f t="shared" si="41"/>
        <v>287.13299999999998</v>
      </c>
      <c r="M45" s="369">
        <f t="shared" si="41"/>
        <v>50.836105598056733</v>
      </c>
      <c r="N45" s="369">
        <f t="shared" si="41"/>
        <v>301.96899999999999</v>
      </c>
      <c r="O45" s="369">
        <f t="shared" si="41"/>
        <v>50.778060280754154</v>
      </c>
      <c r="P45" s="369">
        <f t="shared" si="41"/>
        <v>313.65199999999999</v>
      </c>
      <c r="Q45" s="369">
        <f t="shared" si="41"/>
        <v>50.760882406728598</v>
      </c>
      <c r="R45" s="369">
        <f t="shared" si="41"/>
        <v>324.67899999999997</v>
      </c>
      <c r="S45" s="369">
        <f t="shared" si="41"/>
        <v>50.846212753562369</v>
      </c>
      <c r="T45" s="369">
        <f t="shared" si="41"/>
        <v>333.09499999999997</v>
      </c>
      <c r="U45" s="369">
        <f t="shared" si="41"/>
        <v>50.787051013469224</v>
      </c>
      <c r="V45" s="369">
        <f t="shared" si="41"/>
        <v>350.375</v>
      </c>
      <c r="W45" s="369">
        <f t="shared" si="41"/>
        <v>50.846781215533774</v>
      </c>
      <c r="X45" s="369">
        <f t="shared" si="41"/>
        <v>369.38800000000009</v>
      </c>
      <c r="Y45" s="369">
        <f t="shared" si="41"/>
        <v>50.840463937745241</v>
      </c>
      <c r="Z45" s="369">
        <f t="shared" si="41"/>
        <v>382.82</v>
      </c>
      <c r="AA45" s="369">
        <f t="shared" si="41"/>
        <v>50.86322122219476</v>
      </c>
      <c r="AB45" s="369">
        <f t="shared" si="41"/>
        <v>35.711999999999996</v>
      </c>
      <c r="AC45" s="369">
        <f t="shared" si="41"/>
        <v>430.0499999999999</v>
      </c>
      <c r="AD45" s="369">
        <f t="shared" si="41"/>
        <v>465.76199999999994</v>
      </c>
      <c r="AE45" s="369">
        <f t="shared" si="41"/>
        <v>42.439999999999991</v>
      </c>
      <c r="AF45" s="369">
        <f t="shared" si="41"/>
        <v>443.04800000000012</v>
      </c>
      <c r="AG45" s="369">
        <f t="shared" si="41"/>
        <v>485.488</v>
      </c>
      <c r="AH45" s="369">
        <f t="shared" si="41"/>
        <v>48.92799999999999</v>
      </c>
      <c r="AI45" s="369">
        <f t="shared" si="41"/>
        <v>446.14399999999989</v>
      </c>
      <c r="AJ45" s="369">
        <f t="shared" si="41"/>
        <v>495.07199999999989</v>
      </c>
      <c r="AK45" s="369">
        <f t="shared" ref="AK45:BH45" si="42">SUM(AK32:AK44)</f>
        <v>7.3710000000000004</v>
      </c>
      <c r="AL45" s="369">
        <f t="shared" si="42"/>
        <v>9.7350000000000012</v>
      </c>
      <c r="AM45" s="369">
        <f t="shared" si="42"/>
        <v>17.106000000000002</v>
      </c>
      <c r="AN45" s="369">
        <f t="shared" si="42"/>
        <v>7.2329999999999997</v>
      </c>
      <c r="AO45" s="369">
        <f t="shared" si="42"/>
        <v>8.2999999999999989</v>
      </c>
      <c r="AP45" s="369">
        <f t="shared" si="42"/>
        <v>15.532999999999999</v>
      </c>
      <c r="AQ45" s="369">
        <f t="shared" si="42"/>
        <v>6.9020000000000001</v>
      </c>
      <c r="AR45" s="369">
        <f t="shared" si="42"/>
        <v>10.256000000000002</v>
      </c>
      <c r="AS45" s="369">
        <f t="shared" si="42"/>
        <v>17.157999999999998</v>
      </c>
      <c r="AT45" s="369">
        <f t="shared" si="42"/>
        <v>6.0369999999999999</v>
      </c>
      <c r="AU45" s="369">
        <f t="shared" si="42"/>
        <v>14.391</v>
      </c>
      <c r="AV45" s="369">
        <f t="shared" si="42"/>
        <v>20.428000000000001</v>
      </c>
      <c r="AW45" s="369">
        <f t="shared" si="42"/>
        <v>6.2249999999999996</v>
      </c>
      <c r="AX45" s="369">
        <f t="shared" si="42"/>
        <v>25.910999999999998</v>
      </c>
      <c r="AY45" s="369">
        <f t="shared" si="42"/>
        <v>32.136000000000003</v>
      </c>
      <c r="AZ45" s="369">
        <f t="shared" si="42"/>
        <v>6.3109999999999999</v>
      </c>
      <c r="BA45" s="369">
        <f t="shared" si="42"/>
        <v>26.269000000000002</v>
      </c>
      <c r="BB45" s="369">
        <f t="shared" si="42"/>
        <v>32.58</v>
      </c>
      <c r="BC45" s="369">
        <f t="shared" si="42"/>
        <v>6.2130000000000001</v>
      </c>
      <c r="BD45" s="369">
        <f t="shared" si="42"/>
        <v>27.083999999999996</v>
      </c>
      <c r="BE45" s="369">
        <f t="shared" si="42"/>
        <v>33.297000000000004</v>
      </c>
      <c r="BF45" s="369">
        <f t="shared" si="42"/>
        <v>6.5609999999999999</v>
      </c>
      <c r="BG45" s="369">
        <f t="shared" si="42"/>
        <v>26.557000000000002</v>
      </c>
      <c r="BH45" s="369">
        <f t="shared" si="42"/>
        <v>33.118000000000002</v>
      </c>
      <c r="BI45" s="369">
        <v>6.2059999999999995</v>
      </c>
      <c r="BJ45" s="369">
        <v>26.443999999999996</v>
      </c>
      <c r="BK45" s="369">
        <v>32.650000000000006</v>
      </c>
      <c r="BL45" s="369" t="e">
        <f>SUM(BL32:BL44)</f>
        <v>#VALUE!</v>
      </c>
      <c r="BM45" s="369" t="e">
        <f>SUM(BM32:BM44)</f>
        <v>#VALUE!</v>
      </c>
      <c r="BN45" s="371" t="e">
        <f>SUM(BN32:BN44)</f>
        <v>#VALUE!</v>
      </c>
    </row>
    <row r="46" spans="1:66" s="335" customFormat="1" ht="13.5" thickBot="1">
      <c r="A46" s="389" t="s">
        <v>141</v>
      </c>
      <c r="B46" s="390">
        <f t="shared" ref="B46:AA46" si="43">B45+B31</f>
        <v>483.82000000000005</v>
      </c>
      <c r="C46" s="391">
        <f t="shared" si="43"/>
        <v>100</v>
      </c>
      <c r="D46" s="390">
        <f t="shared" si="43"/>
        <v>499.24400000000003</v>
      </c>
      <c r="E46" s="391">
        <f t="shared" si="43"/>
        <v>99.999999999999986</v>
      </c>
      <c r="F46" s="390">
        <f t="shared" si="43"/>
        <v>532.98099999999999</v>
      </c>
      <c r="G46" s="391">
        <f t="shared" si="43"/>
        <v>100</v>
      </c>
      <c r="H46" s="390">
        <f t="shared" si="43"/>
        <v>565.35200000000009</v>
      </c>
      <c r="I46" s="391">
        <f t="shared" si="43"/>
        <v>100</v>
      </c>
      <c r="J46" s="390">
        <f t="shared" si="43"/>
        <v>584.48399999999992</v>
      </c>
      <c r="K46" s="391">
        <f t="shared" si="43"/>
        <v>100</v>
      </c>
      <c r="L46" s="390">
        <f t="shared" si="43"/>
        <v>564.82099999999991</v>
      </c>
      <c r="M46" s="391">
        <f t="shared" si="43"/>
        <v>100</v>
      </c>
      <c r="N46" s="390">
        <f t="shared" si="43"/>
        <v>594.68399999999997</v>
      </c>
      <c r="O46" s="391">
        <f t="shared" si="43"/>
        <v>100.00000000000001</v>
      </c>
      <c r="P46" s="390">
        <f t="shared" si="43"/>
        <v>617.90099999999995</v>
      </c>
      <c r="Q46" s="391">
        <f t="shared" si="43"/>
        <v>100.00000000000003</v>
      </c>
      <c r="R46" s="390">
        <f t="shared" si="43"/>
        <v>638.55099999999993</v>
      </c>
      <c r="S46" s="391">
        <f t="shared" si="43"/>
        <v>100.00000000000001</v>
      </c>
      <c r="T46" s="390">
        <f t="shared" si="43"/>
        <v>655.86599999999999</v>
      </c>
      <c r="U46" s="391">
        <f t="shared" si="43"/>
        <v>100.00000000000001</v>
      </c>
      <c r="V46" s="390">
        <f t="shared" si="43"/>
        <v>689.07999999999993</v>
      </c>
      <c r="W46" s="391">
        <f t="shared" si="43"/>
        <v>100.00000000000003</v>
      </c>
      <c r="X46" s="390">
        <f t="shared" si="43"/>
        <v>726.5630000000001</v>
      </c>
      <c r="Y46" s="391">
        <f t="shared" si="43"/>
        <v>99.999999999999986</v>
      </c>
      <c r="Z46" s="390">
        <f t="shared" si="43"/>
        <v>752.64599999999996</v>
      </c>
      <c r="AA46" s="391">
        <f t="shared" si="43"/>
        <v>100</v>
      </c>
      <c r="AB46" s="390">
        <f t="shared" ref="AB46:BH46" si="44">AB31+AB45</f>
        <v>64.174999999999983</v>
      </c>
      <c r="AC46" s="390">
        <f t="shared" si="44"/>
        <v>852.49799999999982</v>
      </c>
      <c r="AD46" s="390">
        <f t="shared" si="44"/>
        <v>916.673</v>
      </c>
      <c r="AE46" s="390">
        <f t="shared" si="44"/>
        <v>77.710999999999984</v>
      </c>
      <c r="AF46" s="390">
        <f t="shared" si="44"/>
        <v>877.69600000000014</v>
      </c>
      <c r="AG46" s="390">
        <f t="shared" si="44"/>
        <v>955.40699999999993</v>
      </c>
      <c r="AH46" s="390">
        <f t="shared" si="44"/>
        <v>90.85299999999998</v>
      </c>
      <c r="AI46" s="390">
        <f t="shared" si="44"/>
        <v>882.9169999999998</v>
      </c>
      <c r="AJ46" s="390">
        <f t="shared" si="44"/>
        <v>973.76999999999975</v>
      </c>
      <c r="AK46" s="390">
        <f t="shared" si="44"/>
        <v>51.686</v>
      </c>
      <c r="AL46" s="390">
        <f t="shared" si="44"/>
        <v>453.41</v>
      </c>
      <c r="AM46" s="390">
        <f t="shared" si="44"/>
        <v>505.09600000000006</v>
      </c>
      <c r="AN46" s="390">
        <f t="shared" si="44"/>
        <v>55.79</v>
      </c>
      <c r="AO46" s="390">
        <f t="shared" si="44"/>
        <v>480.90700000000004</v>
      </c>
      <c r="AP46" s="390">
        <f t="shared" si="44"/>
        <v>536.697</v>
      </c>
      <c r="AQ46" s="390">
        <f t="shared" si="44"/>
        <v>58.097999999999992</v>
      </c>
      <c r="AR46" s="390">
        <f t="shared" si="44"/>
        <v>482.43</v>
      </c>
      <c r="AS46" s="390">
        <f t="shared" si="44"/>
        <v>540.52800000000002</v>
      </c>
      <c r="AT46" s="390">
        <f t="shared" si="44"/>
        <v>56.326000000000001</v>
      </c>
      <c r="AU46" s="390">
        <f t="shared" si="44"/>
        <v>516.43499999999995</v>
      </c>
      <c r="AV46" s="390">
        <f t="shared" si="44"/>
        <v>572.76100000000008</v>
      </c>
      <c r="AW46" s="390">
        <f t="shared" si="44"/>
        <v>59.213000000000008</v>
      </c>
      <c r="AX46" s="390">
        <f t="shared" si="44"/>
        <v>573.22899999999993</v>
      </c>
      <c r="AY46" s="390">
        <f t="shared" si="44"/>
        <v>632.44200000000001</v>
      </c>
      <c r="AZ46" s="390">
        <f t="shared" si="44"/>
        <v>59.308</v>
      </c>
      <c r="BA46" s="390">
        <f t="shared" si="44"/>
        <v>586.67000000000007</v>
      </c>
      <c r="BB46" s="390">
        <f t="shared" si="44"/>
        <v>645.97800000000018</v>
      </c>
      <c r="BC46" s="390">
        <f t="shared" si="44"/>
        <v>45.38</v>
      </c>
      <c r="BD46" s="390">
        <f t="shared" si="44"/>
        <v>644.62299999999993</v>
      </c>
      <c r="BE46" s="390">
        <f t="shared" si="44"/>
        <v>690.00299999999993</v>
      </c>
      <c r="BF46" s="390">
        <f t="shared" si="44"/>
        <v>43.317999999999998</v>
      </c>
      <c r="BG46" s="390">
        <f t="shared" si="44"/>
        <v>689.47599999999989</v>
      </c>
      <c r="BH46" s="390">
        <f t="shared" si="44"/>
        <v>732.79399999999998</v>
      </c>
      <c r="BI46" s="390">
        <v>50.655999999999992</v>
      </c>
      <c r="BJ46" s="390">
        <v>656.52000000000021</v>
      </c>
      <c r="BK46" s="390">
        <v>707.17600000000004</v>
      </c>
      <c r="BL46" s="390" t="e">
        <f>BL31+BL45</f>
        <v>#VALUE!</v>
      </c>
      <c r="BM46" s="390" t="e">
        <f>BM31+BM45</f>
        <v>#VALUE!</v>
      </c>
      <c r="BN46" s="392" t="e">
        <f>BN31+BN45</f>
        <v>#VALUE!</v>
      </c>
    </row>
    <row r="47" spans="1:66" ht="13.9" customHeight="1" thickTop="1">
      <c r="A47" s="293" t="s">
        <v>401</v>
      </c>
      <c r="B47" s="341"/>
      <c r="C47" s="381"/>
      <c r="D47" s="341"/>
      <c r="E47" s="381"/>
      <c r="F47" s="341"/>
      <c r="G47" s="381"/>
      <c r="H47" s="341"/>
      <c r="I47" s="381"/>
      <c r="J47" s="341"/>
      <c r="K47" s="381"/>
      <c r="L47" s="341"/>
      <c r="M47" s="381"/>
      <c r="N47" s="341"/>
      <c r="O47" s="381"/>
      <c r="P47" s="341"/>
      <c r="R47" s="341"/>
      <c r="S47" s="381"/>
      <c r="T47" s="341"/>
      <c r="U47" s="381"/>
      <c r="V47" s="341"/>
      <c r="W47" s="381"/>
      <c r="X47" s="341"/>
      <c r="Y47" s="381"/>
      <c r="Z47" s="341"/>
      <c r="AA47" s="381"/>
      <c r="AB47" s="381"/>
      <c r="AC47" s="381"/>
      <c r="AD47" s="393"/>
      <c r="AE47" s="341"/>
      <c r="AF47" s="381"/>
      <c r="AG47" s="393"/>
      <c r="AH47" s="382"/>
      <c r="AI47" s="382"/>
      <c r="AJ47" s="383"/>
      <c r="AK47" s="384"/>
      <c r="AL47" s="382"/>
      <c r="AM47" s="383"/>
      <c r="AN47" s="384"/>
      <c r="AO47" s="382"/>
      <c r="AP47" s="383"/>
      <c r="AQ47" s="384"/>
      <c r="AR47" s="382"/>
      <c r="AS47" s="394"/>
      <c r="AT47" s="384"/>
      <c r="AU47" s="382"/>
      <c r="AV47" s="394"/>
      <c r="AW47" s="395"/>
      <c r="AX47" s="396"/>
      <c r="AY47" s="394"/>
      <c r="AZ47" s="341"/>
      <c r="BA47" s="341"/>
      <c r="BB47" s="397"/>
      <c r="BC47" s="342"/>
      <c r="BD47" s="341"/>
      <c r="BE47" s="397"/>
      <c r="BF47" s="342"/>
      <c r="BG47" s="341"/>
      <c r="BH47" s="397"/>
      <c r="BI47" s="398"/>
      <c r="BJ47" s="398"/>
      <c r="BK47" s="397"/>
      <c r="BL47" s="341"/>
      <c r="BM47" s="341"/>
      <c r="BN47" s="399"/>
    </row>
    <row r="48" spans="1:66">
      <c r="A48" s="400" t="s">
        <v>55</v>
      </c>
      <c r="B48" s="401"/>
      <c r="C48" s="402"/>
      <c r="D48" s="401"/>
      <c r="E48" s="402"/>
      <c r="F48" s="401"/>
      <c r="G48" s="402"/>
      <c r="H48" s="401"/>
      <c r="I48" s="402"/>
      <c r="J48" s="401"/>
      <c r="K48" s="402"/>
      <c r="L48" s="401"/>
      <c r="M48" s="402"/>
      <c r="N48" s="401"/>
      <c r="O48" s="402"/>
      <c r="P48" s="401"/>
      <c r="Q48" s="402"/>
      <c r="R48" s="401"/>
      <c r="S48" s="402"/>
      <c r="T48" s="401"/>
      <c r="U48" s="402"/>
      <c r="V48" s="401"/>
      <c r="W48" s="402"/>
      <c r="X48" s="401"/>
      <c r="Y48" s="402"/>
      <c r="Z48" s="401"/>
      <c r="AA48" s="402"/>
      <c r="AB48" s="402"/>
      <c r="AC48" s="402"/>
      <c r="AD48" s="401">
        <v>20.748000000000001</v>
      </c>
      <c r="AE48" s="401"/>
      <c r="AF48" s="402"/>
      <c r="AG48" s="401">
        <v>22.812000000000001</v>
      </c>
      <c r="AH48" s="403"/>
      <c r="AI48" s="403"/>
      <c r="AJ48" s="401">
        <v>23.081</v>
      </c>
      <c r="AK48" s="403"/>
      <c r="AL48" s="403"/>
      <c r="AM48" s="401">
        <v>24.472000000000001</v>
      </c>
      <c r="AN48" s="401"/>
      <c r="AO48" s="401"/>
      <c r="AP48" s="401">
        <v>25.691000000000003</v>
      </c>
      <c r="AQ48" s="403"/>
      <c r="AR48" s="403"/>
      <c r="AS48" s="404">
        <v>25.991</v>
      </c>
      <c r="AT48" s="403"/>
      <c r="AU48" s="403"/>
      <c r="AV48" s="405">
        <v>25.441000000000003</v>
      </c>
      <c r="AW48" s="405"/>
      <c r="AX48" s="405"/>
      <c r="AY48" s="405">
        <v>23.716999999999999</v>
      </c>
      <c r="AZ48" s="401"/>
      <c r="BA48" s="401"/>
      <c r="BB48" s="404">
        <v>25.577999999999999</v>
      </c>
      <c r="BC48" s="401"/>
      <c r="BD48" s="401"/>
      <c r="BE48" s="404">
        <v>24.981999999999999</v>
      </c>
      <c r="BF48" s="401"/>
      <c r="BG48" s="401"/>
      <c r="BH48" s="406">
        <v>25.719000000000001</v>
      </c>
      <c r="BI48" s="404"/>
      <c r="BJ48" s="404"/>
      <c r="BK48" s="406">
        <v>25.123000000000001</v>
      </c>
      <c r="BL48" s="401"/>
      <c r="BM48" s="401"/>
      <c r="BN48" s="407">
        <f>6.406+2.473+9.637+1.237</f>
        <v>19.753</v>
      </c>
    </row>
    <row r="49" spans="1:66">
      <c r="A49" s="400" t="s">
        <v>87</v>
      </c>
      <c r="B49" s="401"/>
      <c r="C49" s="402"/>
      <c r="D49" s="401"/>
      <c r="E49" s="402"/>
      <c r="F49" s="401"/>
      <c r="G49" s="402"/>
      <c r="H49" s="401"/>
      <c r="I49" s="402"/>
      <c r="J49" s="401"/>
      <c r="K49" s="402"/>
      <c r="L49" s="401"/>
      <c r="M49" s="402"/>
      <c r="N49" s="401"/>
      <c r="O49" s="402"/>
      <c r="P49" s="401"/>
      <c r="Q49" s="402"/>
      <c r="R49" s="401"/>
      <c r="S49" s="402"/>
      <c r="T49" s="401"/>
      <c r="U49" s="402"/>
      <c r="V49" s="401"/>
      <c r="W49" s="402"/>
      <c r="X49" s="401"/>
      <c r="Y49" s="402"/>
      <c r="Z49" s="401"/>
      <c r="AA49" s="402"/>
      <c r="AB49" s="402"/>
      <c r="AC49" s="402"/>
      <c r="AD49" s="401">
        <v>8.1110000000000007</v>
      </c>
      <c r="AE49" s="401"/>
      <c r="AF49" s="402"/>
      <c r="AG49" s="401">
        <v>8.3740000000000006</v>
      </c>
      <c r="AH49" s="403"/>
      <c r="AI49" s="403"/>
      <c r="AJ49" s="401">
        <v>10.231999999999999</v>
      </c>
      <c r="AK49" s="403"/>
      <c r="AL49" s="403"/>
      <c r="AM49" s="401">
        <v>11.343</v>
      </c>
      <c r="AN49" s="401"/>
      <c r="AO49" s="401"/>
      <c r="AP49" s="401">
        <v>10.904999999999999</v>
      </c>
      <c r="AQ49" s="403"/>
      <c r="AR49" s="403"/>
      <c r="AS49" s="404">
        <v>8.3979999999999997</v>
      </c>
      <c r="AT49" s="403"/>
      <c r="AU49" s="403"/>
      <c r="AV49" s="405">
        <v>8.713000000000001</v>
      </c>
      <c r="AW49" s="405"/>
      <c r="AX49" s="405"/>
      <c r="AY49" s="405">
        <v>6.968</v>
      </c>
      <c r="AZ49" s="401"/>
      <c r="BA49" s="401"/>
      <c r="BB49" s="404">
        <v>7.6520000000000001</v>
      </c>
      <c r="BC49" s="401"/>
      <c r="BD49" s="401"/>
      <c r="BE49" s="404">
        <v>10.601000000000001</v>
      </c>
      <c r="BF49" s="401"/>
      <c r="BG49" s="401"/>
      <c r="BH49" s="406">
        <v>9.1599999999999984</v>
      </c>
      <c r="BI49" s="404"/>
      <c r="BJ49" s="404"/>
      <c r="BK49" s="406">
        <v>6.956999999999999</v>
      </c>
      <c r="BL49" s="401"/>
      <c r="BM49" s="401"/>
      <c r="BN49" s="407">
        <v>6.0039999999999996</v>
      </c>
    </row>
    <row r="50" spans="1:66">
      <c r="A50" s="400" t="s">
        <v>88</v>
      </c>
      <c r="B50" s="401"/>
      <c r="C50" s="402"/>
      <c r="D50" s="401"/>
      <c r="E50" s="402"/>
      <c r="F50" s="401"/>
      <c r="G50" s="402"/>
      <c r="H50" s="401"/>
      <c r="I50" s="402"/>
      <c r="J50" s="401"/>
      <c r="K50" s="402"/>
      <c r="L50" s="401"/>
      <c r="M50" s="402"/>
      <c r="N50" s="401"/>
      <c r="O50" s="402"/>
      <c r="P50" s="401"/>
      <c r="Q50" s="402"/>
      <c r="R50" s="401"/>
      <c r="S50" s="402"/>
      <c r="T50" s="401"/>
      <c r="U50" s="402"/>
      <c r="V50" s="401"/>
      <c r="W50" s="402"/>
      <c r="X50" s="401"/>
      <c r="Y50" s="402"/>
      <c r="Z50" s="401"/>
      <c r="AA50" s="402"/>
      <c r="AB50" s="402"/>
      <c r="AC50" s="402"/>
      <c r="AD50" s="401">
        <v>1.7010000000000001</v>
      </c>
      <c r="AE50" s="401"/>
      <c r="AF50" s="402"/>
      <c r="AG50" s="401">
        <v>1.714</v>
      </c>
      <c r="AH50" s="403"/>
      <c r="AI50" s="403"/>
      <c r="AJ50" s="401">
        <v>2.548</v>
      </c>
      <c r="AK50" s="403"/>
      <c r="AL50" s="403"/>
      <c r="AM50" s="401">
        <v>2.7160000000000002</v>
      </c>
      <c r="AN50" s="401"/>
      <c r="AO50" s="401"/>
      <c r="AP50" s="401">
        <v>3.4820000000000002</v>
      </c>
      <c r="AQ50" s="403"/>
      <c r="AR50" s="403"/>
      <c r="AS50" s="404">
        <v>3.2490000000000001</v>
      </c>
      <c r="AT50" s="403"/>
      <c r="AU50" s="403"/>
      <c r="AV50" s="405">
        <v>3.456</v>
      </c>
      <c r="AW50" s="405"/>
      <c r="AX50" s="405"/>
      <c r="AY50" s="405">
        <v>3.0630000000000002</v>
      </c>
      <c r="AZ50" s="401"/>
      <c r="BA50" s="401"/>
      <c r="BB50" s="404">
        <v>2.8159999999999998</v>
      </c>
      <c r="BC50" s="401"/>
      <c r="BD50" s="401"/>
      <c r="BE50" s="404">
        <v>3.1230000000000002</v>
      </c>
      <c r="BF50" s="401"/>
      <c r="BG50" s="401"/>
      <c r="BH50" s="406">
        <v>3.3130000000000002</v>
      </c>
      <c r="BI50" s="404"/>
      <c r="BJ50" s="404"/>
      <c r="BK50" s="406">
        <v>3.3420000000000001</v>
      </c>
      <c r="BL50" s="401"/>
      <c r="BM50" s="401"/>
      <c r="BN50" s="407">
        <f>3.077+0.43</f>
        <v>3.5070000000000001</v>
      </c>
    </row>
    <row r="51" spans="1:66">
      <c r="A51" s="400" t="s">
        <v>394</v>
      </c>
      <c r="B51" s="401"/>
      <c r="C51" s="402"/>
      <c r="D51" s="401"/>
      <c r="E51" s="402"/>
      <c r="F51" s="401"/>
      <c r="G51" s="402"/>
      <c r="H51" s="401"/>
      <c r="I51" s="402"/>
      <c r="J51" s="401"/>
      <c r="K51" s="402"/>
      <c r="L51" s="401"/>
      <c r="M51" s="402"/>
      <c r="N51" s="401"/>
      <c r="O51" s="402"/>
      <c r="P51" s="401"/>
      <c r="Q51" s="402"/>
      <c r="R51" s="401"/>
      <c r="S51" s="402"/>
      <c r="T51" s="401"/>
      <c r="U51" s="402"/>
      <c r="V51" s="401"/>
      <c r="W51" s="402"/>
      <c r="X51" s="401"/>
      <c r="Y51" s="402"/>
      <c r="Z51" s="401"/>
      <c r="AA51" s="402"/>
      <c r="AB51" s="402"/>
      <c r="AC51" s="402"/>
      <c r="AD51" s="401"/>
      <c r="AE51" s="401"/>
      <c r="AF51" s="402"/>
      <c r="AG51" s="401"/>
      <c r="AH51" s="403"/>
      <c r="AI51" s="403"/>
      <c r="AJ51" s="401"/>
      <c r="AK51" s="403"/>
      <c r="AL51" s="403"/>
      <c r="AM51" s="401"/>
      <c r="AN51" s="401"/>
      <c r="AO51" s="401"/>
      <c r="AP51" s="401"/>
      <c r="AQ51" s="403"/>
      <c r="AR51" s="403"/>
      <c r="AS51" s="404"/>
      <c r="AT51" s="403"/>
      <c r="AU51" s="403"/>
      <c r="AV51" s="405"/>
      <c r="AW51" s="405"/>
      <c r="AX51" s="405"/>
      <c r="AY51" s="405"/>
      <c r="AZ51" s="401"/>
      <c r="BA51" s="401"/>
      <c r="BB51" s="404"/>
      <c r="BC51" s="401"/>
      <c r="BD51" s="401"/>
      <c r="BE51" s="404"/>
      <c r="BF51" s="401"/>
      <c r="BG51" s="401"/>
      <c r="BH51" s="406"/>
      <c r="BI51" s="404"/>
      <c r="BJ51" s="404"/>
      <c r="BK51" s="406"/>
      <c r="BL51" s="401"/>
      <c r="BM51" s="401"/>
      <c r="BN51" s="407">
        <v>1.272</v>
      </c>
    </row>
    <row r="52" spans="1:66">
      <c r="A52" s="400" t="s">
        <v>99</v>
      </c>
      <c r="B52" s="401"/>
      <c r="C52" s="402"/>
      <c r="D52" s="401"/>
      <c r="E52" s="402"/>
      <c r="F52" s="401"/>
      <c r="G52" s="402"/>
      <c r="H52" s="401"/>
      <c r="I52" s="402"/>
      <c r="J52" s="401"/>
      <c r="K52" s="402"/>
      <c r="L52" s="401"/>
      <c r="M52" s="402"/>
      <c r="N52" s="401"/>
      <c r="O52" s="402"/>
      <c r="P52" s="401"/>
      <c r="Q52" s="402"/>
      <c r="R52" s="401"/>
      <c r="S52" s="402"/>
      <c r="T52" s="401"/>
      <c r="U52" s="402"/>
      <c r="V52" s="401"/>
      <c r="W52" s="402"/>
      <c r="X52" s="401"/>
      <c r="Y52" s="402"/>
      <c r="Z52" s="401"/>
      <c r="AA52" s="402"/>
      <c r="AB52" s="402"/>
      <c r="AC52" s="402"/>
      <c r="AD52" s="401">
        <v>0.999</v>
      </c>
      <c r="AE52" s="401"/>
      <c r="AF52" s="402"/>
      <c r="AG52" s="401">
        <v>1.2070000000000001</v>
      </c>
      <c r="AH52" s="403"/>
      <c r="AI52" s="403"/>
      <c r="AJ52" s="401">
        <v>0.88300000000000001</v>
      </c>
      <c r="AK52" s="403"/>
      <c r="AL52" s="403"/>
      <c r="AM52" s="401">
        <v>2.12</v>
      </c>
      <c r="AN52" s="401"/>
      <c r="AO52" s="401"/>
      <c r="AP52" s="401">
        <v>1.387</v>
      </c>
      <c r="AQ52" s="403"/>
      <c r="AR52" s="403"/>
      <c r="AS52" s="404">
        <v>1.4279999999999999</v>
      </c>
      <c r="AT52" s="403"/>
      <c r="AU52" s="403"/>
      <c r="AV52" s="405">
        <v>1.4050000000000002</v>
      </c>
      <c r="AW52" s="405"/>
      <c r="AX52" s="405"/>
      <c r="AY52" s="405">
        <v>0.97199999999999998</v>
      </c>
      <c r="AZ52" s="401"/>
      <c r="BA52" s="401"/>
      <c r="BB52" s="404">
        <v>0.54900000000000004</v>
      </c>
      <c r="BC52" s="401"/>
      <c r="BD52" s="401"/>
      <c r="BE52" s="404">
        <v>1.0189999999999999</v>
      </c>
      <c r="BF52" s="401"/>
      <c r="BG52" s="401"/>
      <c r="BH52" s="406">
        <v>1.3169999999999999</v>
      </c>
      <c r="BI52" s="404"/>
      <c r="BJ52" s="404"/>
      <c r="BK52" s="406">
        <v>0.79</v>
      </c>
      <c r="BL52" s="401"/>
      <c r="BM52" s="401"/>
      <c r="BN52" s="407">
        <f>0.83</f>
        <v>0.83</v>
      </c>
    </row>
    <row r="53" spans="1:66">
      <c r="A53" s="400" t="s">
        <v>131</v>
      </c>
      <c r="B53" s="401"/>
      <c r="C53" s="402"/>
      <c r="D53" s="401"/>
      <c r="E53" s="402"/>
      <c r="F53" s="401"/>
      <c r="G53" s="402"/>
      <c r="H53" s="401"/>
      <c r="I53" s="402"/>
      <c r="J53" s="401"/>
      <c r="K53" s="402"/>
      <c r="L53" s="401"/>
      <c r="M53" s="402"/>
      <c r="N53" s="401"/>
      <c r="O53" s="402"/>
      <c r="P53" s="401"/>
      <c r="Q53" s="402"/>
      <c r="R53" s="401"/>
      <c r="S53" s="402"/>
      <c r="T53" s="401"/>
      <c r="U53" s="402"/>
      <c r="V53" s="401"/>
      <c r="W53" s="402"/>
      <c r="X53" s="401"/>
      <c r="Y53" s="402"/>
      <c r="Z53" s="401"/>
      <c r="AA53" s="402"/>
      <c r="AB53" s="402"/>
      <c r="AC53" s="402"/>
      <c r="AD53" s="401">
        <v>0.23400000000000001</v>
      </c>
      <c r="AE53" s="401"/>
      <c r="AF53" s="402"/>
      <c r="AG53" s="401">
        <v>0.32300000000000001</v>
      </c>
      <c r="AH53" s="403"/>
      <c r="AI53" s="403"/>
      <c r="AJ53" s="401">
        <v>0.29899999999999999</v>
      </c>
      <c r="AK53" s="403"/>
      <c r="AL53" s="403"/>
      <c r="AM53" s="401">
        <v>0.38900000000000001</v>
      </c>
      <c r="AN53" s="401"/>
      <c r="AO53" s="401"/>
      <c r="AP53" s="401">
        <v>0.28299999999999997</v>
      </c>
      <c r="AQ53" s="403"/>
      <c r="AR53" s="403"/>
      <c r="AS53" s="404">
        <v>0.19</v>
      </c>
      <c r="AT53" s="403"/>
      <c r="AU53" s="403"/>
      <c r="AV53" s="405">
        <v>0.193</v>
      </c>
      <c r="AW53" s="405"/>
      <c r="AX53" s="405"/>
      <c r="AY53" s="405">
        <v>0.104</v>
      </c>
      <c r="AZ53" s="401"/>
      <c r="BA53" s="401"/>
      <c r="BB53" s="404">
        <v>7.6999999999999999E-2</v>
      </c>
      <c r="BC53" s="401"/>
      <c r="BD53" s="401"/>
      <c r="BE53" s="404">
        <v>5.5E-2</v>
      </c>
      <c r="BF53" s="401"/>
      <c r="BG53" s="401"/>
      <c r="BH53" s="406">
        <v>8.2000000000000003E-2</v>
      </c>
      <c r="BI53" s="404"/>
      <c r="BJ53" s="404"/>
      <c r="BK53" s="406">
        <v>5.5E-2</v>
      </c>
      <c r="BL53" s="401"/>
      <c r="BM53" s="401"/>
      <c r="BN53" s="407">
        <v>3.5999999999999997E-2</v>
      </c>
    </row>
    <row r="54" spans="1:66">
      <c r="A54" s="400" t="s">
        <v>252</v>
      </c>
      <c r="B54" s="401"/>
      <c r="C54" s="402"/>
      <c r="D54" s="401"/>
      <c r="E54" s="402"/>
      <c r="F54" s="401"/>
      <c r="G54" s="402"/>
      <c r="H54" s="401"/>
      <c r="I54" s="402"/>
      <c r="J54" s="401"/>
      <c r="K54" s="402"/>
      <c r="L54" s="401"/>
      <c r="M54" s="402"/>
      <c r="N54" s="401"/>
      <c r="O54" s="402"/>
      <c r="P54" s="401"/>
      <c r="Q54" s="402"/>
      <c r="R54" s="401"/>
      <c r="S54" s="402"/>
      <c r="T54" s="401"/>
      <c r="U54" s="402"/>
      <c r="V54" s="401"/>
      <c r="W54" s="402"/>
      <c r="X54" s="401"/>
      <c r="Y54" s="402"/>
      <c r="Z54" s="401"/>
      <c r="AA54" s="402"/>
      <c r="AB54" s="402"/>
      <c r="AC54" s="402"/>
      <c r="AD54" s="401"/>
      <c r="AE54" s="401"/>
      <c r="AF54" s="402"/>
      <c r="AG54" s="401"/>
      <c r="AH54" s="403"/>
      <c r="AI54" s="403"/>
      <c r="AJ54" s="401">
        <v>0.64200000000000002</v>
      </c>
      <c r="AK54" s="403"/>
      <c r="AL54" s="403"/>
      <c r="AM54" s="401">
        <v>0.84299999999999997</v>
      </c>
      <c r="AN54" s="401"/>
      <c r="AO54" s="401"/>
      <c r="AP54" s="401">
        <v>0.81499999999999995</v>
      </c>
      <c r="AQ54" s="403"/>
      <c r="AR54" s="403"/>
      <c r="AS54" s="404">
        <v>0.83899999999999997</v>
      </c>
      <c r="AT54" s="403"/>
      <c r="AU54" s="403"/>
      <c r="AV54" s="405">
        <v>0.82299999999999995</v>
      </c>
      <c r="AW54" s="405"/>
      <c r="AX54" s="405"/>
      <c r="AY54" s="405">
        <v>0.82399999999999995</v>
      </c>
      <c r="AZ54" s="401"/>
      <c r="BA54" s="401"/>
      <c r="BB54" s="404">
        <v>0.47599999999999998</v>
      </c>
      <c r="BC54" s="401"/>
      <c r="BD54" s="401"/>
      <c r="BE54" s="404">
        <v>0.42599999999999999</v>
      </c>
      <c r="BF54" s="401"/>
      <c r="BG54" s="401"/>
      <c r="BH54" s="406">
        <v>0.30299999999999999</v>
      </c>
      <c r="BI54" s="404"/>
      <c r="BJ54" s="404"/>
      <c r="BK54" s="406">
        <v>0.69699999999999995</v>
      </c>
      <c r="BL54" s="401"/>
      <c r="BM54" s="401"/>
      <c r="BN54" s="407">
        <v>0.92700000000000005</v>
      </c>
    </row>
    <row r="55" spans="1:66">
      <c r="A55" s="408" t="s">
        <v>253</v>
      </c>
      <c r="B55" s="366"/>
      <c r="C55" s="409"/>
      <c r="D55" s="362"/>
      <c r="E55" s="409"/>
      <c r="F55" s="362"/>
      <c r="G55" s="409"/>
      <c r="H55" s="362"/>
      <c r="I55" s="409"/>
      <c r="J55" s="362"/>
      <c r="K55" s="409"/>
      <c r="L55" s="362"/>
      <c r="M55" s="409"/>
      <c r="N55" s="362"/>
      <c r="O55" s="409"/>
      <c r="P55" s="362"/>
      <c r="Q55" s="409"/>
      <c r="R55" s="362"/>
      <c r="S55" s="409"/>
      <c r="T55" s="362"/>
      <c r="U55" s="409"/>
      <c r="V55" s="362"/>
      <c r="W55" s="409"/>
      <c r="X55" s="362"/>
      <c r="Y55" s="409"/>
      <c r="Z55" s="362"/>
      <c r="AA55" s="409"/>
      <c r="AB55" s="409"/>
      <c r="AC55" s="409"/>
      <c r="AD55" s="362"/>
      <c r="AE55" s="362"/>
      <c r="AF55" s="409"/>
      <c r="AG55" s="362"/>
      <c r="AH55" s="410"/>
      <c r="AI55" s="410"/>
      <c r="AJ55" s="362"/>
      <c r="AK55" s="410"/>
      <c r="AL55" s="410"/>
      <c r="AM55" s="362"/>
      <c r="AN55" s="362"/>
      <c r="AO55" s="362"/>
      <c r="AP55" s="362">
        <v>3.75</v>
      </c>
      <c r="AQ55" s="410"/>
      <c r="AR55" s="410"/>
      <c r="AS55" s="411">
        <v>3.802</v>
      </c>
      <c r="AT55" s="410"/>
      <c r="AU55" s="410"/>
      <c r="AV55" s="412">
        <v>6.923</v>
      </c>
      <c r="AW55" s="412"/>
      <c r="AX55" s="412"/>
      <c r="AY55" s="412">
        <v>6.5629999999999997</v>
      </c>
      <c r="AZ55" s="362"/>
      <c r="BA55" s="362"/>
      <c r="BB55" s="411">
        <v>6.0069999999999997</v>
      </c>
      <c r="BC55" s="362"/>
      <c r="BD55" s="362"/>
      <c r="BE55" s="411">
        <v>6.1109999999999998</v>
      </c>
      <c r="BF55" s="362"/>
      <c r="BG55" s="362"/>
      <c r="BH55" s="413">
        <v>5.9169999999999998</v>
      </c>
      <c r="BI55" s="414"/>
      <c r="BJ55" s="411"/>
      <c r="BK55" s="413">
        <v>5.3029999999999999</v>
      </c>
      <c r="BL55" s="366"/>
      <c r="BM55" s="362"/>
      <c r="BN55" s="415">
        <f>4.645+1.518</f>
        <v>6.1629999999999994</v>
      </c>
    </row>
    <row r="56" spans="1:66" s="303" customFormat="1">
      <c r="A56" s="416" t="s">
        <v>141</v>
      </c>
      <c r="B56" s="417"/>
      <c r="C56" s="418"/>
      <c r="D56" s="419"/>
      <c r="E56" s="418"/>
      <c r="F56" s="419"/>
      <c r="G56" s="418"/>
      <c r="H56" s="419"/>
      <c r="I56" s="418"/>
      <c r="J56" s="419"/>
      <c r="K56" s="418"/>
      <c r="L56" s="419"/>
      <c r="M56" s="418"/>
      <c r="N56" s="419"/>
      <c r="O56" s="418"/>
      <c r="P56" s="419"/>
      <c r="Q56" s="418"/>
      <c r="R56" s="419"/>
      <c r="S56" s="418"/>
      <c r="T56" s="419"/>
      <c r="U56" s="418"/>
      <c r="V56" s="419"/>
      <c r="W56" s="418"/>
      <c r="X56" s="419"/>
      <c r="Y56" s="418"/>
      <c r="Z56" s="419"/>
      <c r="AA56" s="418"/>
      <c r="AB56" s="418"/>
      <c r="AC56" s="418"/>
      <c r="AD56" s="419">
        <f>SUM(AD48:AD54)</f>
        <v>31.793000000000003</v>
      </c>
      <c r="AE56" s="419"/>
      <c r="AF56" s="418"/>
      <c r="AG56" s="419">
        <f>SUM(AG48:AG54)</f>
        <v>34.43</v>
      </c>
      <c r="AH56" s="420"/>
      <c r="AI56" s="420"/>
      <c r="AJ56" s="419">
        <f>SUM(AJ48:AJ54)</f>
        <v>37.685000000000009</v>
      </c>
      <c r="AK56" s="420"/>
      <c r="AL56" s="420"/>
      <c r="AM56" s="419">
        <f>SUM(AM48:AM55)</f>
        <v>41.882999999999996</v>
      </c>
      <c r="AN56" s="419"/>
      <c r="AO56" s="419"/>
      <c r="AP56" s="419">
        <f>SUM(AP48:AP55)</f>
        <v>46.313000000000002</v>
      </c>
      <c r="AQ56" s="420"/>
      <c r="AR56" s="420"/>
      <c r="AS56" s="419">
        <f>SUM(AS48:AS55)</f>
        <v>43.896999999999991</v>
      </c>
      <c r="AT56" s="420"/>
      <c r="AU56" s="420"/>
      <c r="AV56" s="419">
        <f>SUM(AV48:AV55)</f>
        <v>46.954000000000008</v>
      </c>
      <c r="AW56" s="419"/>
      <c r="AX56" s="419"/>
      <c r="AY56" s="419">
        <f>SUM(AY48:AY55)</f>
        <v>42.210999999999999</v>
      </c>
      <c r="AZ56" s="419"/>
      <c r="BA56" s="419"/>
      <c r="BB56" s="419">
        <f>SUM(BB48:BB55)</f>
        <v>43.154999999999994</v>
      </c>
      <c r="BC56" s="419"/>
      <c r="BD56" s="419"/>
      <c r="BE56" s="421">
        <f>SUM(BE48:BE55)</f>
        <v>46.316999999999993</v>
      </c>
      <c r="BF56" s="421"/>
      <c r="BG56" s="422"/>
      <c r="BH56" s="417">
        <f>SUM(BH48:BH55)</f>
        <v>45.811</v>
      </c>
      <c r="BI56" s="422"/>
      <c r="BJ56" s="422"/>
      <c r="BK56" s="417">
        <v>42.266999999999996</v>
      </c>
      <c r="BL56" s="422"/>
      <c r="BM56" s="422"/>
      <c r="BN56" s="423">
        <f>SUM(BN48:BN55)</f>
        <v>38.491999999999997</v>
      </c>
    </row>
    <row r="57" spans="1:66" s="335" customFormat="1" ht="26.25" thickBot="1">
      <c r="A57" s="424" t="s">
        <v>402</v>
      </c>
      <c r="B57" s="425"/>
      <c r="C57" s="391"/>
      <c r="D57" s="390"/>
      <c r="E57" s="391"/>
      <c r="F57" s="390"/>
      <c r="G57" s="391"/>
      <c r="H57" s="390"/>
      <c r="I57" s="391"/>
      <c r="J57" s="390"/>
      <c r="K57" s="391"/>
      <c r="L57" s="390"/>
      <c r="M57" s="391"/>
      <c r="N57" s="390"/>
      <c r="O57" s="391"/>
      <c r="P57" s="390"/>
      <c r="Q57" s="391"/>
      <c r="R57" s="390"/>
      <c r="S57" s="391"/>
      <c r="T57" s="390"/>
      <c r="U57" s="391"/>
      <c r="V57" s="390"/>
      <c r="W57" s="391"/>
      <c r="X57" s="390"/>
      <c r="Y57" s="391"/>
      <c r="Z57" s="390"/>
      <c r="AA57" s="391"/>
      <c r="AB57" s="391"/>
      <c r="AC57" s="391"/>
      <c r="AD57" s="390">
        <f>AD56+AD46</f>
        <v>948.46600000000001</v>
      </c>
      <c r="AE57" s="391"/>
      <c r="AF57" s="391"/>
      <c r="AG57" s="390">
        <f>AG56+AG46</f>
        <v>989.83699999999988</v>
      </c>
      <c r="AH57" s="391"/>
      <c r="AI57" s="391"/>
      <c r="AJ57" s="390">
        <f>AJ56+AJ46</f>
        <v>1011.4549999999998</v>
      </c>
      <c r="AK57" s="391"/>
      <c r="AL57" s="391"/>
      <c r="AM57" s="390">
        <f>AM56+AM46</f>
        <v>546.97900000000004</v>
      </c>
      <c r="AN57" s="390"/>
      <c r="AO57" s="390"/>
      <c r="AP57" s="390">
        <f>AP56+AP46</f>
        <v>583.01</v>
      </c>
      <c r="AQ57" s="391"/>
      <c r="AR57" s="391"/>
      <c r="AS57" s="390">
        <f>AS56+AS46</f>
        <v>584.42499999999995</v>
      </c>
      <c r="AT57" s="391"/>
      <c r="AU57" s="391"/>
      <c r="AV57" s="390">
        <f>AV56+AV46</f>
        <v>619.71500000000015</v>
      </c>
      <c r="AW57" s="390"/>
      <c r="AX57" s="390"/>
      <c r="AY57" s="390">
        <f>AY56+AY46</f>
        <v>674.65300000000002</v>
      </c>
      <c r="AZ57" s="390"/>
      <c r="BA57" s="390"/>
      <c r="BB57" s="390">
        <f>BB56+BB46</f>
        <v>689.13300000000015</v>
      </c>
      <c r="BC57" s="390"/>
      <c r="BD57" s="390"/>
      <c r="BE57" s="426">
        <f>BE56+BE46</f>
        <v>736.31999999999994</v>
      </c>
      <c r="BF57" s="426"/>
      <c r="BG57" s="427"/>
      <c r="BH57" s="425">
        <f>BH56+BH46</f>
        <v>778.60500000000002</v>
      </c>
      <c r="BI57" s="427"/>
      <c r="BJ57" s="427"/>
      <c r="BK57" s="425">
        <v>749.44299999999998</v>
      </c>
      <c r="BL57" s="427"/>
      <c r="BM57" s="427"/>
      <c r="BN57" s="428" t="e">
        <f>BN56+BN46</f>
        <v>#VALUE!</v>
      </c>
    </row>
  </sheetData>
  <mergeCells count="14">
    <mergeCell ref="BC3:BE3"/>
    <mergeCell ref="BF3:BH3"/>
    <mergeCell ref="BI3:BK3"/>
    <mergeCell ref="BL3:BN3"/>
    <mergeCell ref="A1:BN1"/>
    <mergeCell ref="A2:BN2"/>
    <mergeCell ref="A3:A4"/>
    <mergeCell ref="AH3:AJ3"/>
    <mergeCell ref="AK3:AM3"/>
    <mergeCell ref="AN3:AP3"/>
    <mergeCell ref="AQ3:AS3"/>
    <mergeCell ref="AT3:AV3"/>
    <mergeCell ref="AW3:AY3"/>
    <mergeCell ref="AZ3:BB3"/>
  </mergeCells>
  <printOptions horizontalCentered="1"/>
  <pageMargins left="0.39370078740157483" right="0.39370078740157483" top="0.59055118110236227" bottom="0.59055118110236227" header="0.39370078740157483" footer="0.39370078740157483"/>
  <pageSetup paperSize="9" orientation="portrait" r:id="rId1"/>
  <headerFooter scaleWithDoc="0">
    <oddFooter>&amp;C4.15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00B050"/>
  </sheetPr>
  <dimension ref="A1:AB61"/>
  <sheetViews>
    <sheetView zoomScaleNormal="100" zoomScaleSheetLayoutView="160" workbookViewId="0">
      <selection activeCell="Y68" sqref="Y68"/>
    </sheetView>
  </sheetViews>
  <sheetFormatPr defaultColWidth="9.140625" defaultRowHeight="12.75"/>
  <cols>
    <col min="1" max="1" width="10.42578125" style="892" customWidth="1"/>
    <col min="2" max="2" width="5.5703125" style="893" customWidth="1"/>
    <col min="3" max="6" width="5.7109375" style="893" bestFit="1" customWidth="1"/>
    <col min="7" max="8" width="6" style="893" customWidth="1"/>
    <col min="9" max="10" width="5.7109375" style="893" bestFit="1" customWidth="1"/>
    <col min="11" max="12" width="6.5703125" style="893" bestFit="1" customWidth="1"/>
    <col min="13" max="13" width="6.85546875" style="893" customWidth="1"/>
    <col min="14" max="14" width="6.5703125" style="986" bestFit="1" customWidth="1"/>
    <col min="15" max="15" width="6.42578125" style="986" customWidth="1"/>
    <col min="16" max="16" width="5.7109375" style="893" bestFit="1" customWidth="1"/>
    <col min="17" max="17" width="4.85546875" style="893" bestFit="1" customWidth="1"/>
    <col min="18" max="18" width="5.28515625" style="893" bestFit="1" customWidth="1"/>
    <col min="19" max="19" width="5.28515625" style="893" customWidth="1"/>
    <col min="20" max="20" width="8" style="893" customWidth="1"/>
    <col min="21" max="21" width="7.85546875" style="892" customWidth="1"/>
    <col min="22" max="23" width="9.28515625" style="893" bestFit="1" customWidth="1"/>
    <col min="24" max="24" width="12.140625" style="893" customWidth="1"/>
    <col min="25" max="25" width="9.140625" style="893"/>
    <col min="26" max="26" width="9.140625" style="987"/>
    <col min="27" max="27" width="9.28515625" style="893" bestFit="1" customWidth="1"/>
    <col min="28" max="16384" width="9.140625" style="893"/>
  </cols>
  <sheetData>
    <row r="1" spans="1:21" s="872" customFormat="1" ht="19.5" customHeight="1">
      <c r="A1" s="1704" t="s">
        <v>546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  <c r="S1" s="1705"/>
      <c r="T1" s="1705"/>
      <c r="U1" s="1706"/>
    </row>
    <row r="2" spans="1:21" s="872" customFormat="1" ht="17.45" customHeight="1">
      <c r="A2" s="1707" t="s">
        <v>417</v>
      </c>
      <c r="B2" s="1708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1708"/>
      <c r="P2" s="1708"/>
      <c r="Q2" s="1708"/>
      <c r="R2" s="1708"/>
      <c r="S2" s="1708"/>
      <c r="T2" s="1708"/>
      <c r="U2" s="1709"/>
    </row>
    <row r="3" spans="1:21" s="872" customFormat="1" ht="18" customHeight="1">
      <c r="A3" s="1682" t="s">
        <v>52</v>
      </c>
      <c r="B3" s="1710" t="s">
        <v>348</v>
      </c>
      <c r="C3" s="1710"/>
      <c r="D3" s="1710"/>
      <c r="E3" s="1710"/>
      <c r="F3" s="1710"/>
      <c r="G3" s="1710"/>
      <c r="H3" s="1710"/>
      <c r="I3" s="1710"/>
      <c r="J3" s="1710"/>
      <c r="K3" s="1710"/>
      <c r="L3" s="1710"/>
      <c r="M3" s="1710"/>
      <c r="N3" s="1710"/>
      <c r="O3" s="1710"/>
      <c r="P3" s="1710"/>
      <c r="Q3" s="1710"/>
      <c r="R3" s="1710"/>
      <c r="S3" s="1710"/>
      <c r="T3" s="1661"/>
      <c r="U3" s="1711" t="s">
        <v>147</v>
      </c>
    </row>
    <row r="4" spans="1:21" s="871" customFormat="1" ht="31.5" customHeight="1">
      <c r="A4" s="1683"/>
      <c r="B4" s="1175" t="s">
        <v>230</v>
      </c>
      <c r="C4" s="1177" t="s">
        <v>231</v>
      </c>
      <c r="D4" s="1177" t="s">
        <v>232</v>
      </c>
      <c r="E4" s="1177" t="s">
        <v>233</v>
      </c>
      <c r="F4" s="1177" t="s">
        <v>234</v>
      </c>
      <c r="G4" s="1177" t="s">
        <v>235</v>
      </c>
      <c r="H4" s="1177" t="s">
        <v>236</v>
      </c>
      <c r="I4" s="1177" t="s">
        <v>237</v>
      </c>
      <c r="J4" s="1177" t="s">
        <v>238</v>
      </c>
      <c r="K4" s="1177" t="s">
        <v>239</v>
      </c>
      <c r="L4" s="1177" t="s">
        <v>240</v>
      </c>
      <c r="M4" s="1177" t="s">
        <v>241</v>
      </c>
      <c r="N4" s="1177" t="s">
        <v>242</v>
      </c>
      <c r="O4" s="1177" t="s">
        <v>243</v>
      </c>
      <c r="P4" s="1177" t="s">
        <v>244</v>
      </c>
      <c r="Q4" s="1177" t="s">
        <v>245</v>
      </c>
      <c r="R4" s="1177" t="s">
        <v>246</v>
      </c>
      <c r="S4" s="1178" t="s">
        <v>289</v>
      </c>
      <c r="T4" s="1178" t="s">
        <v>482</v>
      </c>
      <c r="U4" s="1712"/>
    </row>
    <row r="5" spans="1:21" s="871" customFormat="1" ht="15" customHeight="1">
      <c r="A5" s="1081" t="s">
        <v>162</v>
      </c>
      <c r="B5" s="1082" t="s">
        <v>163</v>
      </c>
      <c r="C5" s="1082" t="s">
        <v>164</v>
      </c>
      <c r="D5" s="1082" t="s">
        <v>165</v>
      </c>
      <c r="E5" s="1082" t="s">
        <v>166</v>
      </c>
      <c r="F5" s="1083" t="s">
        <v>167</v>
      </c>
      <c r="G5" s="1083" t="s">
        <v>168</v>
      </c>
      <c r="H5" s="1082" t="s">
        <v>169</v>
      </c>
      <c r="I5" s="1082" t="s">
        <v>170</v>
      </c>
      <c r="J5" s="1083" t="s">
        <v>171</v>
      </c>
      <c r="K5" s="1082" t="s">
        <v>172</v>
      </c>
      <c r="L5" s="1082" t="s">
        <v>173</v>
      </c>
      <c r="M5" s="1082" t="s">
        <v>174</v>
      </c>
      <c r="N5" s="1082" t="s">
        <v>175</v>
      </c>
      <c r="O5" s="1082" t="s">
        <v>176</v>
      </c>
      <c r="P5" s="1082" t="s">
        <v>177</v>
      </c>
      <c r="Q5" s="1082" t="s">
        <v>178</v>
      </c>
      <c r="R5" s="1082" t="s">
        <v>179</v>
      </c>
      <c r="S5" s="1082"/>
      <c r="T5" s="1083" t="s">
        <v>182</v>
      </c>
      <c r="U5" s="1084" t="s">
        <v>183</v>
      </c>
    </row>
    <row r="6" spans="1:21" s="988" customFormat="1" ht="14.1" customHeight="1">
      <c r="A6" s="1343" t="s">
        <v>37</v>
      </c>
      <c r="B6" s="1348"/>
      <c r="C6" s="989"/>
      <c r="D6" s="989">
        <v>0.51822408800000008</v>
      </c>
      <c r="E6" s="989">
        <v>19.460389042999996</v>
      </c>
      <c r="F6" s="989">
        <v>5.676039447</v>
      </c>
      <c r="G6" s="989">
        <v>0.76145999400000031</v>
      </c>
      <c r="H6" s="989">
        <v>2.7113271299999999</v>
      </c>
      <c r="I6" s="989">
        <v>3.2697880000000001</v>
      </c>
      <c r="J6" s="989"/>
      <c r="K6" s="989">
        <v>1.617748</v>
      </c>
      <c r="L6" s="989"/>
      <c r="M6" s="989">
        <v>2.9013563199999992</v>
      </c>
      <c r="N6" s="989">
        <v>15.101205046</v>
      </c>
      <c r="O6" s="989"/>
      <c r="P6" s="989"/>
      <c r="Q6" s="989"/>
      <c r="R6" s="989"/>
      <c r="S6" s="1431"/>
      <c r="T6" s="1346">
        <f>SUM(B6:S6)</f>
        <v>52.017537067999996</v>
      </c>
      <c r="U6" s="990">
        <f>T6+'PT15'!N6</f>
        <v>52.034608363999993</v>
      </c>
    </row>
    <row r="7" spans="1:21" s="988" customFormat="1" ht="14.1" customHeight="1">
      <c r="A7" s="1344" t="s">
        <v>38</v>
      </c>
      <c r="B7" s="1349"/>
      <c r="C7" s="992"/>
      <c r="D7" s="992"/>
      <c r="E7" s="992"/>
      <c r="F7" s="992">
        <v>2.0000000000000001E-4</v>
      </c>
      <c r="G7" s="992">
        <v>9.8999999999999991E-3</v>
      </c>
      <c r="H7" s="992">
        <v>0.68616200000000005</v>
      </c>
      <c r="I7" s="992">
        <v>0.49923599999999996</v>
      </c>
      <c r="J7" s="992">
        <v>0.41850999999999999</v>
      </c>
      <c r="K7" s="992"/>
      <c r="L7" s="992"/>
      <c r="M7" s="992"/>
      <c r="N7" s="992"/>
      <c r="O7" s="992"/>
      <c r="P7" s="992"/>
      <c r="Q7" s="992"/>
      <c r="R7" s="992"/>
      <c r="S7" s="1432"/>
      <c r="T7" s="1346">
        <f t="shared" ref="T7:T12" si="0">SUM(B7:S7)</f>
        <v>1.6140079999999999</v>
      </c>
      <c r="U7" s="990">
        <f>T7+'PT15'!N7</f>
        <v>40.502163602000003</v>
      </c>
    </row>
    <row r="8" spans="1:21" s="988" customFormat="1" ht="14.1" customHeight="1">
      <c r="A8" s="1344" t="s">
        <v>39</v>
      </c>
      <c r="B8" s="1349"/>
      <c r="C8" s="992"/>
      <c r="D8" s="992"/>
      <c r="E8" s="992"/>
      <c r="F8" s="992">
        <v>0.44717400000000002</v>
      </c>
      <c r="G8" s="992">
        <v>2.8215610300000002</v>
      </c>
      <c r="H8" s="992">
        <v>0.81018892000000009</v>
      </c>
      <c r="I8" s="992">
        <v>6.5660749999999988</v>
      </c>
      <c r="J8" s="992">
        <v>5.0574900500000002</v>
      </c>
      <c r="K8" s="992">
        <v>2.1285773199999998</v>
      </c>
      <c r="L8" s="992">
        <v>33.409503980000004</v>
      </c>
      <c r="M8" s="992">
        <v>14.705968999999998</v>
      </c>
      <c r="N8" s="992">
        <v>1.0511554799999998</v>
      </c>
      <c r="O8" s="992"/>
      <c r="P8" s="992"/>
      <c r="Q8" s="992"/>
      <c r="R8" s="992"/>
      <c r="S8" s="1432"/>
      <c r="T8" s="1346">
        <f t="shared" si="0"/>
        <v>66.997694780000003</v>
      </c>
      <c r="U8" s="990">
        <f>T8+'PT15'!N8</f>
        <v>87.536918755000002</v>
      </c>
    </row>
    <row r="9" spans="1:21" s="988" customFormat="1" ht="14.1" customHeight="1">
      <c r="A9" s="1344" t="s">
        <v>40</v>
      </c>
      <c r="B9" s="1349"/>
      <c r="C9" s="992"/>
      <c r="D9" s="992"/>
      <c r="E9" s="992"/>
      <c r="F9" s="992"/>
      <c r="G9" s="992"/>
      <c r="H9" s="992">
        <v>35.314070000000001</v>
      </c>
      <c r="I9" s="992">
        <v>32.660459660000008</v>
      </c>
      <c r="J9" s="992">
        <v>10.415677339999998</v>
      </c>
      <c r="K9" s="992">
        <v>24.707338640000003</v>
      </c>
      <c r="L9" s="992">
        <v>23.931265000000003</v>
      </c>
      <c r="M9" s="992">
        <v>7.9714090000000004</v>
      </c>
      <c r="N9" s="992">
        <v>3.9999999999999996</v>
      </c>
      <c r="O9" s="992"/>
      <c r="P9" s="992"/>
      <c r="Q9" s="992"/>
      <c r="R9" s="992"/>
      <c r="S9" s="1432"/>
      <c r="T9" s="1346">
        <f t="shared" si="0"/>
        <v>139.00021964000001</v>
      </c>
      <c r="U9" s="990">
        <f>T9+'PT15'!N9</f>
        <v>139.00021964000001</v>
      </c>
    </row>
    <row r="10" spans="1:21" s="988" customFormat="1" ht="14.1" customHeight="1">
      <c r="A10" s="1344" t="s">
        <v>41</v>
      </c>
      <c r="B10" s="1349"/>
      <c r="C10" s="992"/>
      <c r="D10" s="992"/>
      <c r="E10" s="992"/>
      <c r="F10" s="992"/>
      <c r="G10" s="992">
        <v>8.122602000000001E-2</v>
      </c>
      <c r="H10" s="992">
        <v>0.37587153999999989</v>
      </c>
      <c r="I10" s="992">
        <v>4.0711043</v>
      </c>
      <c r="J10" s="992">
        <v>2.0006580500000002</v>
      </c>
      <c r="K10" s="992">
        <v>25.559029600000002</v>
      </c>
      <c r="L10" s="992">
        <v>27.904631099999996</v>
      </c>
      <c r="M10" s="992">
        <v>3.8734550300000006</v>
      </c>
      <c r="N10" s="992">
        <v>5.2549932999999998</v>
      </c>
      <c r="O10" s="992"/>
      <c r="P10" s="992"/>
      <c r="Q10" s="992"/>
      <c r="R10" s="992"/>
      <c r="S10" s="1432"/>
      <c r="T10" s="1346">
        <f t="shared" si="0"/>
        <v>69.120968939999997</v>
      </c>
      <c r="U10" s="990">
        <f>T10+'PT15'!N10</f>
        <v>69.120968939999997</v>
      </c>
    </row>
    <row r="11" spans="1:21" s="988" customFormat="1" ht="14.1" customHeight="1">
      <c r="A11" s="1344" t="s">
        <v>42</v>
      </c>
      <c r="B11" s="1349"/>
      <c r="C11" s="992">
        <v>0.18439</v>
      </c>
      <c r="D11" s="992">
        <v>1.4326699999999999</v>
      </c>
      <c r="E11" s="992">
        <v>7.9625000000000001E-2</v>
      </c>
      <c r="F11" s="992">
        <v>1.70925781</v>
      </c>
      <c r="G11" s="992">
        <v>5.2535150900000005</v>
      </c>
      <c r="H11" s="992">
        <v>3.94521919</v>
      </c>
      <c r="I11" s="992">
        <v>8.8529843999999986</v>
      </c>
      <c r="J11" s="992">
        <v>3.4923237200000004</v>
      </c>
      <c r="K11" s="992">
        <v>11.228513059999999</v>
      </c>
      <c r="L11" s="992">
        <v>111.78890882</v>
      </c>
      <c r="M11" s="992">
        <v>4.7553806700000001</v>
      </c>
      <c r="N11" s="992">
        <v>9.0473606499999981</v>
      </c>
      <c r="O11" s="992">
        <v>1.1104949499999999</v>
      </c>
      <c r="P11" s="992">
        <v>4.0335303299999996</v>
      </c>
      <c r="Q11" s="992">
        <v>0.35030298000000004</v>
      </c>
      <c r="R11" s="992"/>
      <c r="S11" s="1432"/>
      <c r="T11" s="1346">
        <f t="shared" si="0"/>
        <v>167.26447666999999</v>
      </c>
      <c r="U11" s="990">
        <f>T11+'PT15'!N11</f>
        <v>167.48714666999999</v>
      </c>
    </row>
    <row r="12" spans="1:21" s="988" customFormat="1" ht="14.1" customHeight="1">
      <c r="A12" s="1344" t="s">
        <v>43</v>
      </c>
      <c r="B12" s="1349"/>
      <c r="C12" s="992"/>
      <c r="D12" s="992"/>
      <c r="E12" s="992"/>
      <c r="F12" s="992"/>
      <c r="G12" s="992"/>
      <c r="H12" s="992">
        <v>5.4005000000000004E-2</v>
      </c>
      <c r="I12" s="992">
        <v>0.79211276999999991</v>
      </c>
      <c r="J12" s="992"/>
      <c r="K12" s="992">
        <v>0.37064637999999994</v>
      </c>
      <c r="L12" s="992">
        <v>19.815007289999997</v>
      </c>
      <c r="M12" s="992">
        <v>73.12415771000002</v>
      </c>
      <c r="N12" s="992">
        <v>58.94055268000001</v>
      </c>
      <c r="O12" s="992">
        <v>69.69837532999999</v>
      </c>
      <c r="P12" s="992">
        <v>2.3787778199999994</v>
      </c>
      <c r="Q12" s="992"/>
      <c r="R12" s="992"/>
      <c r="S12" s="1432"/>
      <c r="T12" s="1346">
        <f t="shared" si="0"/>
        <v>225.17363498</v>
      </c>
      <c r="U12" s="990">
        <f>T12+'PT15'!N12</f>
        <v>225.17363498</v>
      </c>
    </row>
    <row r="13" spans="1:21" s="988" customFormat="1" ht="14.1" customHeight="1">
      <c r="A13" s="1345" t="s">
        <v>44</v>
      </c>
      <c r="B13" s="1350">
        <v>7.6882549999999994E-2</v>
      </c>
      <c r="C13" s="994">
        <v>6.2851759999999993E-2</v>
      </c>
      <c r="D13" s="994"/>
      <c r="E13" s="994">
        <v>6.0265560000000003E-2</v>
      </c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  <c r="S13" s="1433"/>
      <c r="T13" s="1346">
        <f>SUM(B13:S13)</f>
        <v>0.19999986999999997</v>
      </c>
      <c r="U13" s="990">
        <f>T13+'PT15'!N13</f>
        <v>0.19999986999999997</v>
      </c>
    </row>
    <row r="14" spans="1:21" s="988" customFormat="1" ht="14.1" customHeight="1">
      <c r="A14" s="1334" t="s">
        <v>50</v>
      </c>
      <c r="B14" s="1347">
        <f t="shared" ref="B14:U14" si="1">SUM(B6:B13)</f>
        <v>7.6882549999999994E-2</v>
      </c>
      <c r="C14" s="1347">
        <f t="shared" si="1"/>
        <v>0.24724175999999998</v>
      </c>
      <c r="D14" s="1347">
        <f t="shared" si="1"/>
        <v>1.9508940880000001</v>
      </c>
      <c r="E14" s="1347">
        <f t="shared" si="1"/>
        <v>19.600279602999997</v>
      </c>
      <c r="F14" s="1347">
        <f t="shared" si="1"/>
        <v>7.8326712570000012</v>
      </c>
      <c r="G14" s="1347">
        <f t="shared" si="1"/>
        <v>8.927662134000002</v>
      </c>
      <c r="H14" s="1347">
        <f t="shared" si="1"/>
        <v>43.896843779999998</v>
      </c>
      <c r="I14" s="1347">
        <f t="shared" si="1"/>
        <v>56.711760130000009</v>
      </c>
      <c r="J14" s="1347">
        <f t="shared" si="1"/>
        <v>21.384659159999998</v>
      </c>
      <c r="K14" s="1347">
        <f t="shared" si="1"/>
        <v>65.611852999999996</v>
      </c>
      <c r="L14" s="1347">
        <f t="shared" si="1"/>
        <v>216.84931618999997</v>
      </c>
      <c r="M14" s="1347">
        <f t="shared" si="1"/>
        <v>107.33172773000001</v>
      </c>
      <c r="N14" s="1347">
        <f t="shared" si="1"/>
        <v>93.395267156000003</v>
      </c>
      <c r="O14" s="1347">
        <f t="shared" si="1"/>
        <v>70.808870279999994</v>
      </c>
      <c r="P14" s="1347">
        <f t="shared" si="1"/>
        <v>6.4123081499999994</v>
      </c>
      <c r="Q14" s="1347">
        <f t="shared" si="1"/>
        <v>0.35030298000000004</v>
      </c>
      <c r="R14" s="1347">
        <f t="shared" si="1"/>
        <v>0</v>
      </c>
      <c r="S14" s="1347">
        <f t="shared" si="1"/>
        <v>0</v>
      </c>
      <c r="T14" s="1335">
        <f t="shared" si="1"/>
        <v>721.38853994800002</v>
      </c>
      <c r="U14" s="1336">
        <f t="shared" si="1"/>
        <v>781.05566082100006</v>
      </c>
    </row>
    <row r="15" spans="1:21" s="988" customFormat="1" ht="14.1" customHeight="1">
      <c r="A15" s="991" t="s">
        <v>45</v>
      </c>
      <c r="B15" s="992"/>
      <c r="C15" s="992"/>
      <c r="D15" s="992"/>
      <c r="E15" s="992"/>
      <c r="F15" s="992">
        <v>0.97651368999999988</v>
      </c>
      <c r="G15" s="992">
        <v>0.64361899999999994</v>
      </c>
      <c r="H15" s="992">
        <v>3.3526436399999997</v>
      </c>
      <c r="I15" s="992">
        <v>9.55241644</v>
      </c>
      <c r="J15" s="992">
        <v>7.0281812199999996</v>
      </c>
      <c r="K15" s="992">
        <v>4.8743257799999995</v>
      </c>
      <c r="L15" s="992">
        <v>16.692307829999997</v>
      </c>
      <c r="M15" s="992">
        <v>0.31208127000000002</v>
      </c>
      <c r="N15" s="992">
        <v>13.708191119999999</v>
      </c>
      <c r="O15" s="992">
        <v>4.3369224500000003</v>
      </c>
      <c r="P15" s="992">
        <v>7.4454481400000008</v>
      </c>
      <c r="Q15" s="992"/>
      <c r="R15" s="992"/>
      <c r="S15" s="1432">
        <v>8.3803000000000002E-2</v>
      </c>
      <c r="T15" s="993">
        <f>SUM(B15:S15)</f>
        <v>69.006453579999999</v>
      </c>
      <c r="U15" s="990">
        <f>T15+'PT15'!N15</f>
        <v>69.006453579999999</v>
      </c>
    </row>
    <row r="16" spans="1:21" s="988" customFormat="1" ht="14.1" customHeight="1">
      <c r="A16" s="991" t="s">
        <v>51</v>
      </c>
      <c r="B16" s="992"/>
      <c r="C16" s="992">
        <v>1.0232E-2</v>
      </c>
      <c r="D16" s="992"/>
      <c r="E16" s="992"/>
      <c r="F16" s="992"/>
      <c r="G16" s="992"/>
      <c r="H16" s="992"/>
      <c r="I16" s="992"/>
      <c r="J16" s="992"/>
      <c r="K16" s="992"/>
      <c r="L16" s="992"/>
      <c r="M16" s="992"/>
      <c r="N16" s="992"/>
      <c r="O16" s="992"/>
      <c r="P16" s="992"/>
      <c r="Q16" s="992"/>
      <c r="R16" s="992"/>
      <c r="S16" s="1432"/>
      <c r="T16" s="993">
        <f t="shared" ref="T16:T33" si="2">SUM(B16:S16)</f>
        <v>1.0232E-2</v>
      </c>
      <c r="U16" s="990">
        <f>T16+'PT15'!N16</f>
        <v>1.0232E-2</v>
      </c>
    </row>
    <row r="17" spans="1:21" s="988" customFormat="1" ht="14.1" customHeight="1">
      <c r="A17" s="991" t="s">
        <v>46</v>
      </c>
      <c r="B17" s="992"/>
      <c r="C17" s="992"/>
      <c r="D17" s="992"/>
      <c r="E17" s="992"/>
      <c r="F17" s="992"/>
      <c r="G17" s="992"/>
      <c r="H17" s="992"/>
      <c r="I17" s="992"/>
      <c r="J17" s="992"/>
      <c r="K17" s="992"/>
      <c r="L17" s="992"/>
      <c r="M17" s="992"/>
      <c r="N17" s="992"/>
      <c r="O17" s="992">
        <v>4.01</v>
      </c>
      <c r="P17" s="992"/>
      <c r="Q17" s="992"/>
      <c r="R17" s="992"/>
      <c r="S17" s="1432"/>
      <c r="T17" s="993">
        <f t="shared" si="2"/>
        <v>4.01</v>
      </c>
      <c r="U17" s="990">
        <f>T17+'PT15'!N17</f>
        <v>4.01</v>
      </c>
    </row>
    <row r="18" spans="1:21" s="988" customFormat="1" ht="14.1" customHeight="1">
      <c r="A18" s="991" t="s">
        <v>47</v>
      </c>
      <c r="B18" s="992"/>
      <c r="C18" s="992"/>
      <c r="D18" s="992"/>
      <c r="E18" s="992"/>
      <c r="F18" s="992"/>
      <c r="G18" s="992">
        <v>3.8861000000000007E-2</v>
      </c>
      <c r="H18" s="992">
        <v>5.9490000000000008E-2</v>
      </c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1432"/>
      <c r="T18" s="993">
        <f t="shared" si="2"/>
        <v>9.8351000000000022E-2</v>
      </c>
      <c r="U18" s="990">
        <f>T18+'PT15'!N18</f>
        <v>0.18802570000000002</v>
      </c>
    </row>
    <row r="19" spans="1:21" s="988" customFormat="1" ht="14.1" customHeight="1">
      <c r="A19" s="991" t="s">
        <v>54</v>
      </c>
      <c r="B19" s="992"/>
      <c r="C19" s="992"/>
      <c r="D19" s="992"/>
      <c r="E19" s="992"/>
      <c r="F19" s="992"/>
      <c r="G19" s="992"/>
      <c r="H19" s="992"/>
      <c r="I19" s="992"/>
      <c r="J19" s="992"/>
      <c r="K19" s="992"/>
      <c r="L19" s="992"/>
      <c r="M19" s="992"/>
      <c r="N19" s="992"/>
      <c r="O19" s="992"/>
      <c r="P19" s="992"/>
      <c r="Q19" s="992"/>
      <c r="R19" s="992"/>
      <c r="S19" s="1432"/>
      <c r="T19" s="993">
        <f t="shared" si="2"/>
        <v>0</v>
      </c>
      <c r="U19" s="990">
        <f>T19+'PT15'!N19</f>
        <v>0.49753358000000003</v>
      </c>
    </row>
    <row r="20" spans="1:21" s="988" customFormat="1" ht="14.1" customHeight="1">
      <c r="A20" s="991" t="s">
        <v>94</v>
      </c>
      <c r="B20" s="992"/>
      <c r="C20" s="992"/>
      <c r="D20" s="992"/>
      <c r="E20" s="992"/>
      <c r="F20" s="992"/>
      <c r="G20" s="992"/>
      <c r="H20" s="992"/>
      <c r="I20" s="992"/>
      <c r="J20" s="992"/>
      <c r="K20" s="992"/>
      <c r="L20" s="992"/>
      <c r="M20" s="992">
        <v>0.13058799999999998</v>
      </c>
      <c r="N20" s="992"/>
      <c r="O20" s="992"/>
      <c r="P20" s="992"/>
      <c r="Q20" s="992"/>
      <c r="R20" s="992"/>
      <c r="S20" s="1432"/>
      <c r="T20" s="993">
        <f t="shared" si="2"/>
        <v>0.13058799999999998</v>
      </c>
      <c r="U20" s="990">
        <f>T20+'PT15'!N20</f>
        <v>0.13058799999999998</v>
      </c>
    </row>
    <row r="21" spans="1:21" s="988" customFormat="1" ht="14.1" customHeight="1">
      <c r="A21" s="991" t="s">
        <v>263</v>
      </c>
      <c r="B21" s="992"/>
      <c r="C21" s="992"/>
      <c r="D21" s="992"/>
      <c r="E21" s="992"/>
      <c r="F21" s="992"/>
      <c r="G21" s="992"/>
      <c r="H21" s="992"/>
      <c r="I21" s="992"/>
      <c r="J21" s="992"/>
      <c r="K21" s="992"/>
      <c r="L21" s="992">
        <v>10.4642775</v>
      </c>
      <c r="M21" s="992"/>
      <c r="N21" s="992"/>
      <c r="O21" s="992">
        <v>5.8590902999999992</v>
      </c>
      <c r="P21" s="992"/>
      <c r="Q21" s="992"/>
      <c r="R21" s="992"/>
      <c r="S21" s="1432"/>
      <c r="T21" s="993">
        <f t="shared" si="2"/>
        <v>16.3233678</v>
      </c>
      <c r="U21" s="990">
        <f>T21+'PT15'!N21</f>
        <v>16.3233678</v>
      </c>
    </row>
    <row r="22" spans="1:21" s="988" customFormat="1" ht="14.1" customHeight="1">
      <c r="A22" s="991" t="s">
        <v>304</v>
      </c>
      <c r="B22" s="992"/>
      <c r="C22" s="992"/>
      <c r="D22" s="992"/>
      <c r="E22" s="992"/>
      <c r="F22" s="992"/>
      <c r="G22" s="992"/>
      <c r="H22" s="992"/>
      <c r="I22" s="992"/>
      <c r="J22" s="992">
        <v>17.387225165</v>
      </c>
      <c r="K22" s="992">
        <v>1.7435499999999997</v>
      </c>
      <c r="L22" s="992">
        <v>4.8711864800000004</v>
      </c>
      <c r="M22" s="992">
        <v>11.02952019</v>
      </c>
      <c r="N22" s="992">
        <v>2.49029E-3</v>
      </c>
      <c r="O22" s="992">
        <v>7</v>
      </c>
      <c r="P22" s="992"/>
      <c r="Q22" s="992"/>
      <c r="R22" s="992"/>
      <c r="S22" s="1432"/>
      <c r="T22" s="993">
        <f t="shared" si="2"/>
        <v>42.033972124999998</v>
      </c>
      <c r="U22" s="990">
        <f>T22+'PT15'!N22</f>
        <v>42.033972124999998</v>
      </c>
    </row>
    <row r="23" spans="1:21" s="988" customFormat="1" ht="14.1" customHeight="1">
      <c r="A23" s="991" t="s">
        <v>220</v>
      </c>
      <c r="B23" s="992"/>
      <c r="C23" s="992"/>
      <c r="D23" s="992"/>
      <c r="E23" s="992"/>
      <c r="F23" s="992"/>
      <c r="G23" s="992"/>
      <c r="H23" s="992"/>
      <c r="I23" s="992"/>
      <c r="J23" s="992">
        <v>1.1798709999999999</v>
      </c>
      <c r="K23" s="992">
        <v>13.820037000000001</v>
      </c>
      <c r="L23" s="992">
        <v>1.5999999999999999</v>
      </c>
      <c r="M23" s="992">
        <v>0.15409999999999999</v>
      </c>
      <c r="N23" s="992">
        <v>0.76053711000000002</v>
      </c>
      <c r="O23" s="992">
        <v>0.65039099999999994</v>
      </c>
      <c r="P23" s="992"/>
      <c r="Q23" s="992"/>
      <c r="R23" s="992"/>
      <c r="S23" s="1432"/>
      <c r="T23" s="993">
        <f t="shared" si="2"/>
        <v>18.164936110000003</v>
      </c>
      <c r="U23" s="990">
        <f>T23+'PT15'!N23</f>
        <v>18.164936110000003</v>
      </c>
    </row>
    <row r="24" spans="1:21" s="988" customFormat="1" ht="14.1" customHeight="1">
      <c r="A24" s="991" t="s">
        <v>335</v>
      </c>
      <c r="B24" s="992"/>
      <c r="C24" s="992"/>
      <c r="D24" s="992"/>
      <c r="E24" s="992"/>
      <c r="F24" s="992"/>
      <c r="G24" s="992"/>
      <c r="H24" s="992"/>
      <c r="I24" s="992"/>
      <c r="J24" s="992"/>
      <c r="K24" s="992"/>
      <c r="L24" s="992">
        <v>0.998237983</v>
      </c>
      <c r="M24" s="992"/>
      <c r="N24" s="992">
        <v>0.97192831800000001</v>
      </c>
      <c r="O24" s="992"/>
      <c r="P24" s="992">
        <v>0.97390607500000004</v>
      </c>
      <c r="Q24" s="992">
        <v>1.0559265470000001</v>
      </c>
      <c r="R24" s="992"/>
      <c r="S24" s="1432"/>
      <c r="T24" s="993">
        <f t="shared" si="2"/>
        <v>3.9999989229999997</v>
      </c>
      <c r="U24" s="990">
        <f>T24+'PT15'!N24</f>
        <v>3.9999989229999997</v>
      </c>
    </row>
    <row r="25" spans="1:21" s="988" customFormat="1" ht="14.1" customHeight="1">
      <c r="A25" s="991" t="s">
        <v>518</v>
      </c>
      <c r="B25" s="992"/>
      <c r="C25" s="992"/>
      <c r="D25" s="992"/>
      <c r="E25" s="992"/>
      <c r="F25" s="992"/>
      <c r="G25" s="992"/>
      <c r="H25" s="992"/>
      <c r="I25" s="992">
        <v>1.390819</v>
      </c>
      <c r="J25" s="992">
        <v>1.1092610000000001</v>
      </c>
      <c r="K25" s="992"/>
      <c r="L25" s="992"/>
      <c r="M25" s="992"/>
      <c r="N25" s="992"/>
      <c r="O25" s="992"/>
      <c r="P25" s="992"/>
      <c r="Q25" s="992"/>
      <c r="R25" s="992"/>
      <c r="S25" s="1432"/>
      <c r="T25" s="993">
        <f t="shared" si="2"/>
        <v>2.5000800000000001</v>
      </c>
      <c r="U25" s="990">
        <f>T25+'PT15'!N25</f>
        <v>2.5000800000000001</v>
      </c>
    </row>
    <row r="26" spans="1:21" s="988" customFormat="1" ht="14.1" customHeight="1">
      <c r="A26" s="991" t="s">
        <v>333</v>
      </c>
      <c r="B26" s="992"/>
      <c r="C26" s="992"/>
      <c r="D26" s="992"/>
      <c r="E26" s="992"/>
      <c r="F26" s="992"/>
      <c r="G26" s="992"/>
      <c r="H26" s="992"/>
      <c r="I26" s="992"/>
      <c r="J26" s="992"/>
      <c r="K26" s="992"/>
      <c r="L26" s="992"/>
      <c r="M26" s="992"/>
      <c r="N26" s="992"/>
      <c r="O26" s="992">
        <v>11.715622003</v>
      </c>
      <c r="P26" s="992"/>
      <c r="Q26" s="992"/>
      <c r="R26" s="992"/>
      <c r="S26" s="1432"/>
      <c r="T26" s="993">
        <f t="shared" si="2"/>
        <v>11.715622003</v>
      </c>
      <c r="U26" s="990">
        <f>T26+'PT15'!N26</f>
        <v>11.715622003</v>
      </c>
    </row>
    <row r="27" spans="1:21" s="988" customFormat="1" ht="14.1" customHeight="1">
      <c r="A27" s="991" t="s">
        <v>392</v>
      </c>
      <c r="B27" s="992"/>
      <c r="C27" s="992"/>
      <c r="D27" s="992"/>
      <c r="E27" s="992"/>
      <c r="F27" s="992"/>
      <c r="G27" s="992"/>
      <c r="H27" s="992"/>
      <c r="I27" s="992"/>
      <c r="J27" s="992"/>
      <c r="K27" s="992">
        <v>0.31030199999999997</v>
      </c>
      <c r="L27" s="992"/>
      <c r="M27" s="992">
        <v>0.19473699999999997</v>
      </c>
      <c r="N27" s="992"/>
      <c r="O27" s="992"/>
      <c r="P27" s="992"/>
      <c r="Q27" s="992"/>
      <c r="R27" s="992"/>
      <c r="S27" s="1432"/>
      <c r="T27" s="993">
        <f t="shared" si="2"/>
        <v>0.5050389999999999</v>
      </c>
      <c r="U27" s="990">
        <f>T27+'PT15'!N27</f>
        <v>0.5050389999999999</v>
      </c>
    </row>
    <row r="28" spans="1:21" s="988" customFormat="1" ht="14.1" customHeight="1">
      <c r="A28" s="991" t="s">
        <v>393</v>
      </c>
      <c r="B28" s="992"/>
      <c r="C28" s="992"/>
      <c r="D28" s="992"/>
      <c r="E28" s="992"/>
      <c r="F28" s="992"/>
      <c r="G28" s="992"/>
      <c r="H28" s="992"/>
      <c r="I28" s="992"/>
      <c r="J28" s="992"/>
      <c r="K28" s="992"/>
      <c r="L28" s="992"/>
      <c r="M28" s="992"/>
      <c r="N28" s="992"/>
      <c r="O28" s="992">
        <v>17.20165493</v>
      </c>
      <c r="P28" s="992"/>
      <c r="Q28" s="992"/>
      <c r="R28" s="992"/>
      <c r="S28" s="1432"/>
      <c r="T28" s="993">
        <f t="shared" si="2"/>
        <v>17.20165493</v>
      </c>
      <c r="U28" s="990">
        <f>T28+'PT15'!N28</f>
        <v>17.20165493</v>
      </c>
    </row>
    <row r="29" spans="1:21" s="988" customFormat="1" ht="14.1" customHeight="1">
      <c r="A29" s="991" t="s">
        <v>421</v>
      </c>
      <c r="B29" s="992"/>
      <c r="C29" s="992"/>
      <c r="D29" s="992"/>
      <c r="E29" s="992"/>
      <c r="F29" s="992"/>
      <c r="G29" s="992"/>
      <c r="H29" s="992">
        <v>5.8113694999999996</v>
      </c>
      <c r="I29" s="992"/>
      <c r="J29" s="992"/>
      <c r="K29" s="992"/>
      <c r="L29" s="992"/>
      <c r="M29" s="992"/>
      <c r="N29" s="992"/>
      <c r="O29" s="992"/>
      <c r="P29" s="992"/>
      <c r="Q29" s="992"/>
      <c r="R29" s="992"/>
      <c r="S29" s="1432"/>
      <c r="T29" s="993">
        <f t="shared" si="2"/>
        <v>5.8113694999999996</v>
      </c>
      <c r="U29" s="990">
        <f>T29+'PT15'!N29</f>
        <v>5.8113694999999996</v>
      </c>
    </row>
    <row r="30" spans="1:21" s="988" customFormat="1" ht="14.1" customHeight="1">
      <c r="A30" s="991" t="s">
        <v>419</v>
      </c>
      <c r="B30" s="992"/>
      <c r="C30" s="992"/>
      <c r="D30" s="992"/>
      <c r="E30" s="992"/>
      <c r="F30" s="992"/>
      <c r="G30" s="992"/>
      <c r="H30" s="992"/>
      <c r="I30" s="992">
        <v>3.5</v>
      </c>
      <c r="J30" s="992"/>
      <c r="K30" s="992"/>
      <c r="L30" s="992"/>
      <c r="M30" s="992"/>
      <c r="N30" s="992"/>
      <c r="O30" s="992"/>
      <c r="P30" s="992"/>
      <c r="Q30" s="992"/>
      <c r="R30" s="992"/>
      <c r="S30" s="1432"/>
      <c r="T30" s="993">
        <f t="shared" si="2"/>
        <v>3.5</v>
      </c>
      <c r="U30" s="990">
        <f>T30+'PT15'!N30</f>
        <v>3.5</v>
      </c>
    </row>
    <row r="31" spans="1:21" s="988" customFormat="1" ht="14.1" customHeight="1">
      <c r="A31" s="991" t="s">
        <v>467</v>
      </c>
      <c r="B31" s="992"/>
      <c r="C31" s="992"/>
      <c r="D31" s="992"/>
      <c r="E31" s="992"/>
      <c r="F31" s="992"/>
      <c r="G31" s="992"/>
      <c r="H31" s="992"/>
      <c r="I31" s="992"/>
      <c r="J31" s="992">
        <v>3.8013010000000005</v>
      </c>
      <c r="K31" s="992"/>
      <c r="L31" s="992"/>
      <c r="M31" s="992"/>
      <c r="N31" s="992"/>
      <c r="O31" s="992"/>
      <c r="P31" s="992"/>
      <c r="Q31" s="992"/>
      <c r="R31" s="992"/>
      <c r="S31" s="1432"/>
      <c r="T31" s="993">
        <f t="shared" si="2"/>
        <v>3.8013010000000005</v>
      </c>
      <c r="U31" s="990">
        <f>T31+'PT15'!N31</f>
        <v>3.8013010000000005</v>
      </c>
    </row>
    <row r="32" spans="1:21" s="988" customFormat="1" ht="14.1" customHeight="1">
      <c r="A32" s="991" t="s">
        <v>465</v>
      </c>
      <c r="B32" s="992"/>
      <c r="C32" s="992"/>
      <c r="D32" s="992"/>
      <c r="E32" s="992"/>
      <c r="F32" s="992"/>
      <c r="G32" s="992"/>
      <c r="H32" s="992"/>
      <c r="I32" s="992"/>
      <c r="J32" s="992">
        <v>4.2173800000000004</v>
      </c>
      <c r="K32" s="992">
        <v>0.21119400000000002</v>
      </c>
      <c r="L32" s="992">
        <v>2.5714259999999998</v>
      </c>
      <c r="M32" s="992"/>
      <c r="N32" s="992"/>
      <c r="O32" s="992"/>
      <c r="P32" s="992"/>
      <c r="Q32" s="992"/>
      <c r="R32" s="992"/>
      <c r="S32" s="1432"/>
      <c r="T32" s="993">
        <f t="shared" si="2"/>
        <v>7</v>
      </c>
      <c r="U32" s="990">
        <f>T32+'PT15'!N32</f>
        <v>7</v>
      </c>
    </row>
    <row r="33" spans="1:21" s="988" customFormat="1" ht="14.1" customHeight="1">
      <c r="A33" s="991" t="s">
        <v>523</v>
      </c>
      <c r="B33" s="992"/>
      <c r="C33" s="992"/>
      <c r="D33" s="992"/>
      <c r="E33" s="992"/>
      <c r="F33" s="992"/>
      <c r="G33" s="992"/>
      <c r="H33" s="992"/>
      <c r="I33" s="992"/>
      <c r="J33" s="992"/>
      <c r="K33" s="992"/>
      <c r="L33" s="992"/>
      <c r="M33" s="992"/>
      <c r="N33" s="992"/>
      <c r="O33" s="992">
        <v>2.82</v>
      </c>
      <c r="P33" s="992"/>
      <c r="Q33" s="992"/>
      <c r="R33" s="992"/>
      <c r="S33" s="1432"/>
      <c r="T33" s="993">
        <f t="shared" si="2"/>
        <v>2.82</v>
      </c>
      <c r="U33" s="990">
        <f>T33+'PT15'!N33</f>
        <v>2.82</v>
      </c>
    </row>
    <row r="34" spans="1:21" s="988" customFormat="1" ht="14.1" customHeight="1">
      <c r="A34" s="1334" t="s">
        <v>136</v>
      </c>
      <c r="B34" s="1335">
        <f>SUM(B14:B33)</f>
        <v>7.6882549999999994E-2</v>
      </c>
      <c r="C34" s="1335">
        <f t="shared" ref="C34:T34" si="3">SUM(C14:C33)</f>
        <v>0.25747376</v>
      </c>
      <c r="D34" s="1335">
        <f t="shared" si="3"/>
        <v>1.9508940880000001</v>
      </c>
      <c r="E34" s="1335">
        <f t="shared" si="3"/>
        <v>19.600279602999997</v>
      </c>
      <c r="F34" s="1335">
        <f t="shared" si="3"/>
        <v>8.8091849470000003</v>
      </c>
      <c r="G34" s="1335">
        <f t="shared" si="3"/>
        <v>9.6101421340000019</v>
      </c>
      <c r="H34" s="1335">
        <f t="shared" si="3"/>
        <v>53.120346919999989</v>
      </c>
      <c r="I34" s="1335">
        <f t="shared" si="3"/>
        <v>71.154995569999997</v>
      </c>
      <c r="J34" s="1335">
        <f t="shared" si="3"/>
        <v>56.107878544999991</v>
      </c>
      <c r="K34" s="1335">
        <f t="shared" si="3"/>
        <v>86.571261779999986</v>
      </c>
      <c r="L34" s="1335">
        <f t="shared" si="3"/>
        <v>254.04675198299998</v>
      </c>
      <c r="M34" s="1335">
        <f t="shared" si="3"/>
        <v>119.15275419000001</v>
      </c>
      <c r="N34" s="1335">
        <f t="shared" si="3"/>
        <v>108.83841399399999</v>
      </c>
      <c r="O34" s="1335">
        <f t="shared" si="3"/>
        <v>124.402550963</v>
      </c>
      <c r="P34" s="1335">
        <f t="shared" si="3"/>
        <v>14.831662365000001</v>
      </c>
      <c r="Q34" s="1335">
        <f t="shared" si="3"/>
        <v>1.4062295270000003</v>
      </c>
      <c r="R34" s="1335">
        <f t="shared" si="3"/>
        <v>0</v>
      </c>
      <c r="S34" s="1335">
        <f t="shared" si="3"/>
        <v>8.3803000000000002E-2</v>
      </c>
      <c r="T34" s="1335">
        <f t="shared" si="3"/>
        <v>930.02150591899999</v>
      </c>
      <c r="U34" s="1336">
        <f>SUM(U14:U33)</f>
        <v>990.27583507200006</v>
      </c>
    </row>
    <row r="35" spans="1:21" s="988" customFormat="1" ht="14.1" customHeight="1">
      <c r="A35" s="991" t="s">
        <v>215</v>
      </c>
      <c r="B35" s="992"/>
      <c r="C35" s="992"/>
      <c r="D35" s="992"/>
      <c r="E35" s="992"/>
      <c r="F35" s="992"/>
      <c r="G35" s="992"/>
      <c r="H35" s="992"/>
      <c r="I35" s="992"/>
      <c r="J35" s="992"/>
      <c r="K35" s="992"/>
      <c r="L35" s="992"/>
      <c r="M35" s="992"/>
      <c r="N35" s="992"/>
      <c r="O35" s="992"/>
      <c r="P35" s="992"/>
      <c r="Q35" s="992"/>
      <c r="R35" s="992"/>
      <c r="S35" s="1432"/>
      <c r="T35" s="993">
        <f>SUM(B35:S35)</f>
        <v>0</v>
      </c>
      <c r="U35" s="990">
        <f>T35+'PT15'!N35</f>
        <v>6.2152678200000011</v>
      </c>
    </row>
    <row r="36" spans="1:21" s="988" customFormat="1" ht="14.1" customHeight="1">
      <c r="A36" s="991" t="s">
        <v>298</v>
      </c>
      <c r="B36" s="992"/>
      <c r="C36" s="992"/>
      <c r="D36" s="992"/>
      <c r="E36" s="992"/>
      <c r="F36" s="992"/>
      <c r="G36" s="992"/>
      <c r="H36" s="992"/>
      <c r="I36" s="992"/>
      <c r="J36" s="992">
        <v>5.1118589999999998E-2</v>
      </c>
      <c r="K36" s="992"/>
      <c r="L36" s="992"/>
      <c r="M36" s="992">
        <v>1.2114069700000001</v>
      </c>
      <c r="N36" s="992"/>
      <c r="O36" s="992"/>
      <c r="P36" s="992"/>
      <c r="Q36" s="992"/>
      <c r="R36" s="992"/>
      <c r="S36" s="1432">
        <v>0.22576262</v>
      </c>
      <c r="T36" s="993">
        <f t="shared" ref="T36:T54" si="4">SUM(B36:S36)</f>
        <v>1.4882881800000001</v>
      </c>
      <c r="U36" s="990">
        <f>T36+'PT15'!N36</f>
        <v>1.4882881800000001</v>
      </c>
    </row>
    <row r="37" spans="1:21" s="988" customFormat="1" ht="14.1" customHeight="1">
      <c r="A37" s="991" t="s">
        <v>122</v>
      </c>
      <c r="B37" s="992"/>
      <c r="C37" s="992"/>
      <c r="D37" s="992"/>
      <c r="E37" s="992"/>
      <c r="F37" s="992"/>
      <c r="G37" s="992"/>
      <c r="H37" s="992">
        <v>0.20706899999999998</v>
      </c>
      <c r="I37" s="992"/>
      <c r="J37" s="992"/>
      <c r="K37" s="992"/>
      <c r="L37" s="992"/>
      <c r="M37" s="992">
        <v>9.9693999999999991E-2</v>
      </c>
      <c r="N37" s="992"/>
      <c r="O37" s="992"/>
      <c r="P37" s="992"/>
      <c r="Q37" s="992"/>
      <c r="R37" s="992"/>
      <c r="S37" s="1432"/>
      <c r="T37" s="993">
        <f t="shared" si="4"/>
        <v>0.30676299999999995</v>
      </c>
      <c r="U37" s="990">
        <f>T37+'PT15'!N37</f>
        <v>0.30676299999999995</v>
      </c>
    </row>
    <row r="38" spans="1:21" s="988" customFormat="1" ht="14.1" customHeight="1">
      <c r="A38" s="991" t="s">
        <v>247</v>
      </c>
      <c r="B38" s="992"/>
      <c r="C38" s="992"/>
      <c r="D38" s="992"/>
      <c r="E38" s="992"/>
      <c r="F38" s="992"/>
      <c r="G38" s="992"/>
      <c r="H38" s="992"/>
      <c r="I38" s="992"/>
      <c r="J38" s="992">
        <v>6.7639899999999997</v>
      </c>
      <c r="K38" s="992"/>
      <c r="L38" s="992"/>
      <c r="M38" s="992">
        <v>11.354758019999998</v>
      </c>
      <c r="N38" s="992"/>
      <c r="O38" s="992"/>
      <c r="P38" s="992"/>
      <c r="Q38" s="992"/>
      <c r="R38" s="992"/>
      <c r="S38" s="1432"/>
      <c r="T38" s="993">
        <f t="shared" si="4"/>
        <v>18.118748019999998</v>
      </c>
      <c r="U38" s="990">
        <f>T38+'PT15'!N38</f>
        <v>18.118748019999998</v>
      </c>
    </row>
    <row r="39" spans="1:21" s="988" customFormat="1" ht="14.1" customHeight="1">
      <c r="A39" s="991" t="s">
        <v>296</v>
      </c>
      <c r="B39" s="992"/>
      <c r="C39" s="992"/>
      <c r="D39" s="992"/>
      <c r="E39" s="992"/>
      <c r="F39" s="992"/>
      <c r="G39" s="992"/>
      <c r="H39" s="992"/>
      <c r="I39" s="992"/>
      <c r="J39" s="992">
        <v>0.16905000000000001</v>
      </c>
      <c r="K39" s="992">
        <v>0.23839999999999997</v>
      </c>
      <c r="L39" s="992"/>
      <c r="M39" s="992"/>
      <c r="N39" s="992"/>
      <c r="O39" s="992"/>
      <c r="P39" s="992"/>
      <c r="Q39" s="992"/>
      <c r="R39" s="992"/>
      <c r="S39" s="1432"/>
      <c r="T39" s="993">
        <f t="shared" si="4"/>
        <v>0.40744999999999998</v>
      </c>
      <c r="U39" s="990">
        <f>T39+'PT15'!N39</f>
        <v>0.40744999999999998</v>
      </c>
    </row>
    <row r="40" spans="1:21" s="988" customFormat="1" ht="14.1" customHeight="1">
      <c r="A40" s="991" t="s">
        <v>142</v>
      </c>
      <c r="B40" s="992"/>
      <c r="C40" s="992"/>
      <c r="D40" s="992"/>
      <c r="E40" s="992"/>
      <c r="F40" s="992"/>
      <c r="G40" s="992"/>
      <c r="H40" s="992">
        <v>0.11782000000000001</v>
      </c>
      <c r="I40" s="992"/>
      <c r="J40" s="992"/>
      <c r="K40" s="992"/>
      <c r="L40" s="992"/>
      <c r="M40" s="992"/>
      <c r="N40" s="992"/>
      <c r="O40" s="992"/>
      <c r="P40" s="992"/>
      <c r="Q40" s="992"/>
      <c r="R40" s="992"/>
      <c r="S40" s="1432"/>
      <c r="T40" s="993">
        <f t="shared" si="4"/>
        <v>0.11782000000000001</v>
      </c>
      <c r="U40" s="990">
        <f>T40+'PT15'!N40</f>
        <v>0.11782000000000001</v>
      </c>
    </row>
    <row r="41" spans="1:21" s="988" customFormat="1" ht="14.1" customHeight="1">
      <c r="A41" s="991" t="s">
        <v>297</v>
      </c>
      <c r="B41" s="992"/>
      <c r="C41" s="992"/>
      <c r="D41" s="992"/>
      <c r="E41" s="992"/>
      <c r="F41" s="992"/>
      <c r="G41" s="992"/>
      <c r="H41" s="992"/>
      <c r="I41" s="992"/>
      <c r="J41" s="992"/>
      <c r="K41" s="992"/>
      <c r="L41" s="992">
        <v>3.9199976999999997</v>
      </c>
      <c r="M41" s="992"/>
      <c r="N41" s="992"/>
      <c r="O41" s="992"/>
      <c r="P41" s="992"/>
      <c r="Q41" s="992"/>
      <c r="R41" s="992"/>
      <c r="S41" s="1432"/>
      <c r="T41" s="993">
        <f t="shared" si="4"/>
        <v>3.9199976999999997</v>
      </c>
      <c r="U41" s="990">
        <f>T41+'PT15'!N41</f>
        <v>3.9199976999999997</v>
      </c>
    </row>
    <row r="42" spans="1:21" s="988" customFormat="1" ht="14.1" customHeight="1">
      <c r="A42" s="991" t="s">
        <v>305</v>
      </c>
      <c r="B42" s="992"/>
      <c r="C42" s="992"/>
      <c r="D42" s="992"/>
      <c r="E42" s="992"/>
      <c r="F42" s="992"/>
      <c r="G42" s="992"/>
      <c r="H42" s="992">
        <v>0.30299999999999999</v>
      </c>
      <c r="I42" s="992"/>
      <c r="J42" s="992"/>
      <c r="K42" s="992"/>
      <c r="L42" s="992"/>
      <c r="M42" s="992"/>
      <c r="N42" s="992"/>
      <c r="O42" s="992"/>
      <c r="P42" s="992"/>
      <c r="Q42" s="992"/>
      <c r="R42" s="992"/>
      <c r="S42" s="1432"/>
      <c r="T42" s="993">
        <f t="shared" si="4"/>
        <v>0.30299999999999999</v>
      </c>
      <c r="U42" s="990">
        <f>T42+'PT15'!N42</f>
        <v>0.30299999999999999</v>
      </c>
    </row>
    <row r="43" spans="1:21" s="988" customFormat="1" ht="14.1" customHeight="1">
      <c r="A43" s="991" t="s">
        <v>227</v>
      </c>
      <c r="B43" s="992"/>
      <c r="C43" s="992"/>
      <c r="D43" s="992"/>
      <c r="E43" s="992"/>
      <c r="F43" s="992"/>
      <c r="G43" s="992"/>
      <c r="H43" s="992"/>
      <c r="I43" s="992"/>
      <c r="J43" s="992"/>
      <c r="K43" s="992"/>
      <c r="L43" s="992"/>
      <c r="M43" s="992"/>
      <c r="N43" s="992"/>
      <c r="O43" s="992"/>
      <c r="P43" s="992"/>
      <c r="Q43" s="992"/>
      <c r="R43" s="992"/>
      <c r="S43" s="1432"/>
      <c r="T43" s="993">
        <f t="shared" si="4"/>
        <v>0</v>
      </c>
      <c r="U43" s="990">
        <f>T43+'PT15'!N43</f>
        <v>0</v>
      </c>
    </row>
    <row r="44" spans="1:21" s="988" customFormat="1" ht="14.1" customHeight="1">
      <c r="A44" s="991" t="s">
        <v>212</v>
      </c>
      <c r="B44" s="992"/>
      <c r="C44" s="992"/>
      <c r="D44" s="992"/>
      <c r="E44" s="992"/>
      <c r="F44" s="992"/>
      <c r="G44" s="992"/>
      <c r="H44" s="992"/>
      <c r="I44" s="992"/>
      <c r="J44" s="992"/>
      <c r="K44" s="992"/>
      <c r="L44" s="992">
        <v>0.23972456</v>
      </c>
      <c r="M44" s="992"/>
      <c r="N44" s="992"/>
      <c r="O44" s="992">
        <v>0.50086653000000003</v>
      </c>
      <c r="P44" s="992">
        <v>0.35952896000000001</v>
      </c>
      <c r="Q44" s="992"/>
      <c r="R44" s="992">
        <v>0.57987798999999995</v>
      </c>
      <c r="S44" s="1432"/>
      <c r="T44" s="993">
        <f t="shared" si="4"/>
        <v>1.6799980400000001</v>
      </c>
      <c r="U44" s="990">
        <f>T44+'PT15'!N44</f>
        <v>1.6799980400000001</v>
      </c>
    </row>
    <row r="45" spans="1:21" s="988" customFormat="1" ht="14.1" customHeight="1">
      <c r="A45" s="991" t="s">
        <v>248</v>
      </c>
      <c r="B45" s="992"/>
      <c r="C45" s="992"/>
      <c r="D45" s="992"/>
      <c r="E45" s="992"/>
      <c r="F45" s="992"/>
      <c r="G45" s="992"/>
      <c r="H45" s="992"/>
      <c r="I45" s="992"/>
      <c r="J45" s="992"/>
      <c r="K45" s="992">
        <v>4.1113999999999998E-2</v>
      </c>
      <c r="L45" s="992"/>
      <c r="M45" s="992"/>
      <c r="N45" s="992"/>
      <c r="O45" s="992"/>
      <c r="P45" s="992"/>
      <c r="Q45" s="992"/>
      <c r="R45" s="992"/>
      <c r="S45" s="1432"/>
      <c r="T45" s="993">
        <f t="shared" si="4"/>
        <v>4.1113999999999998E-2</v>
      </c>
      <c r="U45" s="990">
        <f>T45+'PT15'!N45</f>
        <v>4.1113999999999998E-2</v>
      </c>
    </row>
    <row r="46" spans="1:21" s="988" customFormat="1" ht="14.1" customHeight="1">
      <c r="A46" s="991" t="s">
        <v>155</v>
      </c>
      <c r="B46" s="992"/>
      <c r="C46" s="992"/>
      <c r="D46" s="992"/>
      <c r="E46" s="992"/>
      <c r="F46" s="992"/>
      <c r="G46" s="992"/>
      <c r="H46" s="992"/>
      <c r="I46" s="992"/>
      <c r="J46" s="992"/>
      <c r="K46" s="992"/>
      <c r="L46" s="992">
        <v>1.4905299999999999</v>
      </c>
      <c r="M46" s="992">
        <v>0.4949599999999999</v>
      </c>
      <c r="N46" s="992">
        <v>1.8921000000000001</v>
      </c>
      <c r="O46" s="992">
        <v>1.6508099999999999</v>
      </c>
      <c r="P46" s="992"/>
      <c r="Q46" s="992"/>
      <c r="R46" s="992">
        <v>7.9189999999999996</v>
      </c>
      <c r="S46" s="1432"/>
      <c r="T46" s="993">
        <f t="shared" si="4"/>
        <v>13.447399999999998</v>
      </c>
      <c r="U46" s="990">
        <f>T46+'PT15'!N46</f>
        <v>13.447399999999998</v>
      </c>
    </row>
    <row r="47" spans="1:21" s="988" customFormat="1" ht="14.1" customHeight="1">
      <c r="A47" s="991" t="s">
        <v>420</v>
      </c>
      <c r="B47" s="992"/>
      <c r="C47" s="992"/>
      <c r="D47" s="992"/>
      <c r="E47" s="992"/>
      <c r="F47" s="992"/>
      <c r="G47" s="992"/>
      <c r="H47" s="992"/>
      <c r="I47" s="992"/>
      <c r="J47" s="992"/>
      <c r="K47" s="992">
        <v>3.5997999999999995E-2</v>
      </c>
      <c r="L47" s="992"/>
      <c r="M47" s="992"/>
      <c r="N47" s="992">
        <v>8.3566000000000001E-2</v>
      </c>
      <c r="O47" s="992"/>
      <c r="P47" s="992"/>
      <c r="Q47" s="992"/>
      <c r="R47" s="992"/>
      <c r="S47" s="1432"/>
      <c r="T47" s="993">
        <f t="shared" si="4"/>
        <v>0.119564</v>
      </c>
      <c r="U47" s="990">
        <f>T47+'PT15'!N47</f>
        <v>0.119564</v>
      </c>
    </row>
    <row r="48" spans="1:21" s="988" customFormat="1" ht="14.1" customHeight="1">
      <c r="A48" s="991" t="s">
        <v>324</v>
      </c>
      <c r="B48" s="992"/>
      <c r="C48" s="992"/>
      <c r="D48" s="992"/>
      <c r="E48" s="992"/>
      <c r="F48" s="992"/>
      <c r="G48" s="992"/>
      <c r="H48" s="992"/>
      <c r="I48" s="992">
        <v>8.9998000000000009E-2</v>
      </c>
      <c r="J48" s="992">
        <v>0.40237200000000006</v>
      </c>
      <c r="K48" s="992">
        <v>2.2253999999999999E-2</v>
      </c>
      <c r="L48" s="992"/>
      <c r="M48" s="992">
        <v>3.1932000000000002E-2</v>
      </c>
      <c r="N48" s="992"/>
      <c r="O48" s="992"/>
      <c r="P48" s="992"/>
      <c r="Q48" s="992"/>
      <c r="R48" s="992"/>
      <c r="S48" s="1432"/>
      <c r="T48" s="993">
        <f t="shared" si="4"/>
        <v>0.54655600000000004</v>
      </c>
      <c r="U48" s="990">
        <f>T48+'PT15'!N48</f>
        <v>0.54655600000000004</v>
      </c>
    </row>
    <row r="49" spans="1:28" s="988" customFormat="1" ht="14.1" customHeight="1">
      <c r="A49" s="991" t="s">
        <v>481</v>
      </c>
      <c r="B49" s="992"/>
      <c r="C49" s="992"/>
      <c r="D49" s="992"/>
      <c r="E49" s="992"/>
      <c r="F49" s="992"/>
      <c r="G49" s="992"/>
      <c r="H49" s="992"/>
      <c r="I49" s="992"/>
      <c r="J49" s="992"/>
      <c r="K49" s="992"/>
      <c r="L49" s="992">
        <v>3.32E-2</v>
      </c>
      <c r="M49" s="992">
        <v>0.79992000000000008</v>
      </c>
      <c r="N49" s="992">
        <v>0.33626999999999996</v>
      </c>
      <c r="O49" s="992">
        <v>0.1072</v>
      </c>
      <c r="P49" s="992">
        <v>0.80809000000000009</v>
      </c>
      <c r="Q49" s="992"/>
      <c r="R49" s="992"/>
      <c r="S49" s="1432"/>
      <c r="T49" s="993">
        <f t="shared" si="4"/>
        <v>2.0846800000000001</v>
      </c>
      <c r="U49" s="990">
        <f>T49+'PT15'!N49</f>
        <v>2.0846800000000001</v>
      </c>
    </row>
    <row r="50" spans="1:28" s="988" customFormat="1" ht="14.1" customHeight="1">
      <c r="A50" s="971" t="s">
        <v>475</v>
      </c>
      <c r="B50" s="992"/>
      <c r="C50" s="992"/>
      <c r="D50" s="992"/>
      <c r="E50" s="992"/>
      <c r="F50" s="992"/>
      <c r="G50" s="992"/>
      <c r="H50" s="992">
        <v>1.7520000000000001E-2</v>
      </c>
      <c r="I50" s="992">
        <v>8.0199999999999994E-3</v>
      </c>
      <c r="J50" s="992">
        <v>0.12107599999999999</v>
      </c>
      <c r="K50" s="992"/>
      <c r="L50" s="992">
        <v>0.10343899999999998</v>
      </c>
      <c r="M50" s="992"/>
      <c r="N50" s="992"/>
      <c r="O50" s="992"/>
      <c r="P50" s="992"/>
      <c r="Q50" s="992"/>
      <c r="R50" s="992"/>
      <c r="S50" s="1432"/>
      <c r="T50" s="993">
        <f t="shared" si="4"/>
        <v>0.25005499999999997</v>
      </c>
      <c r="U50" s="990">
        <f>T50+'PT15'!N50</f>
        <v>0.25005499999999997</v>
      </c>
    </row>
    <row r="51" spans="1:28" s="988" customFormat="1" ht="14.1" customHeight="1">
      <c r="A51" s="991" t="s">
        <v>48</v>
      </c>
      <c r="B51" s="992"/>
      <c r="C51" s="992"/>
      <c r="D51" s="992"/>
      <c r="E51" s="992"/>
      <c r="F51" s="992"/>
      <c r="G51" s="992"/>
      <c r="H51" s="992"/>
      <c r="I51" s="992"/>
      <c r="J51" s="992"/>
      <c r="K51" s="992"/>
      <c r="L51" s="992">
        <v>0.23635499999999998</v>
      </c>
      <c r="M51" s="992">
        <v>0.97102500000000003</v>
      </c>
      <c r="N51" s="992">
        <v>4.4019578599999996</v>
      </c>
      <c r="O51" s="992">
        <v>1.7585149999999998</v>
      </c>
      <c r="P51" s="992"/>
      <c r="Q51" s="992"/>
      <c r="R51" s="992"/>
      <c r="S51" s="1432"/>
      <c r="T51" s="993">
        <f t="shared" si="4"/>
        <v>7.3678528600000002</v>
      </c>
      <c r="U51" s="990">
        <f>T51+'PT15'!N51</f>
        <v>7.3678528600000002</v>
      </c>
    </row>
    <row r="52" spans="1:28" s="988" customFormat="1" ht="14.1" customHeight="1">
      <c r="A52" s="971" t="s">
        <v>514</v>
      </c>
      <c r="B52" s="992"/>
      <c r="C52" s="992"/>
      <c r="D52" s="992"/>
      <c r="E52" s="992"/>
      <c r="F52" s="992"/>
      <c r="G52" s="992"/>
      <c r="H52" s="992"/>
      <c r="I52" s="992"/>
      <c r="J52" s="992"/>
      <c r="K52" s="992">
        <v>0.74999983000000003</v>
      </c>
      <c r="L52" s="992"/>
      <c r="M52" s="992"/>
      <c r="N52" s="992"/>
      <c r="O52" s="992"/>
      <c r="P52" s="992"/>
      <c r="Q52" s="992"/>
      <c r="R52" s="992"/>
      <c r="S52" s="1432"/>
      <c r="T52" s="993">
        <f t="shared" si="4"/>
        <v>0.74999983000000003</v>
      </c>
      <c r="U52" s="990">
        <f>T52+'PT15'!N52</f>
        <v>0.74999983000000003</v>
      </c>
    </row>
    <row r="53" spans="1:28" s="988" customFormat="1" ht="14.1" customHeight="1">
      <c r="A53" s="991" t="s">
        <v>540</v>
      </c>
      <c r="B53" s="992"/>
      <c r="C53" s="992"/>
      <c r="D53" s="992"/>
      <c r="E53" s="992"/>
      <c r="F53" s="992"/>
      <c r="G53" s="992"/>
      <c r="H53" s="992"/>
      <c r="I53" s="992"/>
      <c r="J53" s="992"/>
      <c r="K53" s="992">
        <v>5.9919999999999999E-3</v>
      </c>
      <c r="L53" s="992"/>
      <c r="M53" s="992"/>
      <c r="N53" s="992"/>
      <c r="O53" s="992"/>
      <c r="P53" s="992"/>
      <c r="Q53" s="992"/>
      <c r="R53" s="992"/>
      <c r="S53" s="1432"/>
      <c r="T53" s="993">
        <f t="shared" si="4"/>
        <v>5.9919999999999999E-3</v>
      </c>
      <c r="U53" s="990">
        <f>T53+'PT15'!N53</f>
        <v>5.9919999999999999E-3</v>
      </c>
    </row>
    <row r="54" spans="1:28" s="988" customFormat="1" ht="14.1" customHeight="1">
      <c r="A54" s="991" t="s">
        <v>129</v>
      </c>
      <c r="B54" s="992"/>
      <c r="C54" s="992"/>
      <c r="D54" s="992"/>
      <c r="E54" s="992"/>
      <c r="F54" s="992"/>
      <c r="G54" s="992"/>
      <c r="H54" s="992"/>
      <c r="I54" s="992"/>
      <c r="J54" s="992"/>
      <c r="K54" s="992"/>
      <c r="L54" s="992">
        <v>7.6351000000000002E-2</v>
      </c>
      <c r="M54" s="992"/>
      <c r="N54" s="992"/>
      <c r="O54" s="992"/>
      <c r="P54" s="992"/>
      <c r="Q54" s="992"/>
      <c r="R54" s="992"/>
      <c r="S54" s="1432"/>
      <c r="T54" s="993">
        <f t="shared" si="4"/>
        <v>7.6351000000000002E-2</v>
      </c>
      <c r="U54" s="990">
        <f>T54+'PT15'!N54</f>
        <v>7.6351000000000002E-2</v>
      </c>
    </row>
    <row r="55" spans="1:28" s="988" customFormat="1" ht="14.1" customHeight="1">
      <c r="A55" s="1337" t="s">
        <v>100</v>
      </c>
      <c r="B55" s="1338">
        <f t="shared" ref="B55:N55" si="5">SUM(B35:B54)</f>
        <v>0</v>
      </c>
      <c r="C55" s="1338">
        <f t="shared" si="5"/>
        <v>0</v>
      </c>
      <c r="D55" s="1338">
        <f t="shared" si="5"/>
        <v>0</v>
      </c>
      <c r="E55" s="1338">
        <f t="shared" si="5"/>
        <v>0</v>
      </c>
      <c r="F55" s="1338">
        <f t="shared" si="5"/>
        <v>0</v>
      </c>
      <c r="G55" s="1338">
        <f t="shared" si="5"/>
        <v>0</v>
      </c>
      <c r="H55" s="1338">
        <f t="shared" si="5"/>
        <v>0.6454089999999999</v>
      </c>
      <c r="I55" s="1338">
        <f t="shared" si="5"/>
        <v>9.8018000000000008E-2</v>
      </c>
      <c r="J55" s="1338">
        <f t="shared" si="5"/>
        <v>7.50760659</v>
      </c>
      <c r="K55" s="1338">
        <f t="shared" si="5"/>
        <v>1.0937578299999999</v>
      </c>
      <c r="L55" s="1338">
        <f t="shared" si="5"/>
        <v>6.0995972599999986</v>
      </c>
      <c r="M55" s="1338">
        <f t="shared" si="5"/>
        <v>14.963695989999998</v>
      </c>
      <c r="N55" s="1338">
        <f t="shared" si="5"/>
        <v>6.7138938599999998</v>
      </c>
      <c r="O55" s="1338">
        <f t="shared" ref="O55:U55" si="6">SUM(O35:O54)</f>
        <v>4.0173915300000003</v>
      </c>
      <c r="P55" s="1338">
        <f t="shared" si="6"/>
        <v>1.16761896</v>
      </c>
      <c r="Q55" s="1338">
        <f t="shared" si="6"/>
        <v>0</v>
      </c>
      <c r="R55" s="1338">
        <f t="shared" si="6"/>
        <v>8.4988779900000004</v>
      </c>
      <c r="S55" s="1338">
        <f t="shared" si="6"/>
        <v>0.22576262</v>
      </c>
      <c r="T55" s="1338">
        <f t="shared" si="6"/>
        <v>51.031629629999998</v>
      </c>
      <c r="U55" s="1339">
        <f t="shared" si="6"/>
        <v>57.246897450000006</v>
      </c>
    </row>
    <row r="56" spans="1:28" s="988" customFormat="1" ht="14.1" customHeight="1" thickBot="1">
      <c r="A56" s="1340" t="s">
        <v>141</v>
      </c>
      <c r="B56" s="1341">
        <f t="shared" ref="B56:R56" si="7">SUM(B55+B34)</f>
        <v>7.6882549999999994E-2</v>
      </c>
      <c r="C56" s="1341">
        <f t="shared" si="7"/>
        <v>0.25747376</v>
      </c>
      <c r="D56" s="1341">
        <f t="shared" si="7"/>
        <v>1.9508940880000001</v>
      </c>
      <c r="E56" s="1341">
        <f t="shared" si="7"/>
        <v>19.600279602999997</v>
      </c>
      <c r="F56" s="1341">
        <f t="shared" si="7"/>
        <v>8.8091849470000003</v>
      </c>
      <c r="G56" s="1341">
        <f t="shared" si="7"/>
        <v>9.6101421340000019</v>
      </c>
      <c r="H56" s="1341">
        <f t="shared" si="7"/>
        <v>53.765755919999989</v>
      </c>
      <c r="I56" s="1341">
        <f t="shared" si="7"/>
        <v>71.253013569999993</v>
      </c>
      <c r="J56" s="1341">
        <f t="shared" si="7"/>
        <v>63.615485134999993</v>
      </c>
      <c r="K56" s="1341">
        <f t="shared" si="7"/>
        <v>87.665019609999987</v>
      </c>
      <c r="L56" s="1341">
        <f t="shared" si="7"/>
        <v>260.14634924299997</v>
      </c>
      <c r="M56" s="1341">
        <f t="shared" si="7"/>
        <v>134.11645018000002</v>
      </c>
      <c r="N56" s="1341">
        <f t="shared" si="7"/>
        <v>115.55230785399999</v>
      </c>
      <c r="O56" s="1341">
        <f t="shared" si="7"/>
        <v>128.41994249300001</v>
      </c>
      <c r="P56" s="1341">
        <f t="shared" si="7"/>
        <v>15.999281325000002</v>
      </c>
      <c r="Q56" s="1341">
        <f t="shared" si="7"/>
        <v>1.4062295270000003</v>
      </c>
      <c r="R56" s="1341">
        <f t="shared" si="7"/>
        <v>8.4988779900000004</v>
      </c>
      <c r="S56" s="1341">
        <f>SUM(S55+S34)</f>
        <v>0.30956561999999999</v>
      </c>
      <c r="T56" s="1341">
        <f>SUM(T55+T34)</f>
        <v>981.05313554899999</v>
      </c>
      <c r="U56" s="1342">
        <f>SUM(U55+U34)</f>
        <v>1047.5227325220001</v>
      </c>
    </row>
    <row r="57" spans="1:28" ht="10.5" customHeight="1" thickTop="1">
      <c r="V57" s="986"/>
      <c r="W57" s="988"/>
      <c r="X57" s="988"/>
      <c r="Y57" s="988"/>
      <c r="Z57" s="988"/>
      <c r="AA57" s="988"/>
      <c r="AB57" s="988"/>
    </row>
    <row r="58" spans="1:28">
      <c r="W58" s="988"/>
      <c r="X58" s="988"/>
      <c r="Y58" s="988"/>
      <c r="Z58" s="988"/>
      <c r="AA58" s="988"/>
      <c r="AB58" s="988"/>
    </row>
    <row r="61" spans="1:28">
      <c r="B61" s="986"/>
      <c r="C61" s="986"/>
      <c r="D61" s="986"/>
      <c r="E61" s="986"/>
      <c r="F61" s="986"/>
      <c r="G61" s="986"/>
      <c r="H61" s="986"/>
      <c r="I61" s="986"/>
      <c r="J61" s="986"/>
      <c r="K61" s="986"/>
      <c r="L61" s="986"/>
      <c r="M61" s="986"/>
      <c r="P61" s="986"/>
      <c r="Q61" s="986"/>
      <c r="R61" s="986"/>
      <c r="S61" s="986"/>
      <c r="T61" s="986"/>
      <c r="U61" s="986"/>
      <c r="V61" s="986"/>
    </row>
  </sheetData>
  <sortState ref="X680:Z697">
    <sortCondition descending="1" ref="Y680:Y697"/>
  </sortState>
  <mergeCells count="5">
    <mergeCell ref="A1:U1"/>
    <mergeCell ref="A2:U2"/>
    <mergeCell ref="A3:A4"/>
    <mergeCell ref="B3:T3"/>
    <mergeCell ref="U3:U4"/>
  </mergeCells>
  <printOptions horizontalCentered="1"/>
  <pageMargins left="0.31496062992125984" right="0.27559055118110237" top="0.39370078740157483" bottom="0.31496062992125984" header="0.19685039370078741" footer="0.19685039370078741"/>
  <pageSetup paperSize="9" scale="75" firstPageNumber="20" orientation="portrait" useFirstPageNumber="1" r:id="rId1"/>
  <headerFooter scaleWithDoc="0"/>
  <rowBreaks count="1" manualBreakCount="1">
    <brk id="56" max="2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>
    <tabColor rgb="FF00B050"/>
  </sheetPr>
  <dimension ref="A1:Z35"/>
  <sheetViews>
    <sheetView zoomScale="106" zoomScaleNormal="106" workbookViewId="0">
      <selection activeCell="Q46" sqref="Q46"/>
    </sheetView>
  </sheetViews>
  <sheetFormatPr defaultColWidth="9.140625" defaultRowHeight="16.5"/>
  <cols>
    <col min="1" max="1" width="10.28515625" style="192" customWidth="1"/>
    <col min="2" max="2" width="5.5703125" style="210" bestFit="1" customWidth="1"/>
    <col min="3" max="3" width="6.42578125" style="210" customWidth="1"/>
    <col min="4" max="4" width="10.5703125" style="210" customWidth="1"/>
    <col min="5" max="5" width="7.7109375" style="210" customWidth="1"/>
    <col min="6" max="6" width="8.28515625" style="210" customWidth="1"/>
    <col min="7" max="7" width="7.5703125" style="210" customWidth="1"/>
    <col min="8" max="8" width="10.28515625" style="210" bestFit="1" customWidth="1"/>
    <col min="9" max="9" width="7.5703125" style="210" customWidth="1"/>
    <col min="10" max="10" width="9" style="210" customWidth="1"/>
    <col min="11" max="11" width="8.42578125" style="210" customWidth="1"/>
    <col min="12" max="12" width="8.5703125" style="1002" customWidth="1"/>
    <col min="13" max="13" width="9.42578125" style="1002" customWidth="1"/>
    <col min="14" max="14" width="3.42578125" style="191" customWidth="1"/>
    <col min="15" max="15" width="9.42578125" style="191" bestFit="1" customWidth="1"/>
    <col min="16" max="17" width="9.7109375" style="192" customWidth="1"/>
    <col min="18" max="18" width="9.85546875" style="191" customWidth="1"/>
    <col min="19" max="20" width="5" style="191" customWidth="1"/>
    <col min="21" max="21" width="8.140625" style="191" customWidth="1"/>
    <col min="22" max="22" width="6.85546875" style="211" customWidth="1"/>
    <col min="23" max="23" width="11.140625" style="211" customWidth="1"/>
    <col min="24" max="24" width="3.7109375" style="191" customWidth="1"/>
    <col min="25" max="16384" width="9.140625" style="191"/>
  </cols>
  <sheetData>
    <row r="1" spans="1:26" ht="19.149999999999999" customHeight="1">
      <c r="A1" s="1556" t="s">
        <v>547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</row>
    <row r="2" spans="1:26" ht="19.149999999999999" customHeight="1">
      <c r="A2" s="1559" t="s">
        <v>417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1"/>
    </row>
    <row r="3" spans="1:26" s="212" customFormat="1" ht="45.6" customHeight="1">
      <c r="A3" s="1191" t="s">
        <v>150</v>
      </c>
      <c r="B3" s="1190" t="s">
        <v>207</v>
      </c>
      <c r="C3" s="1360" t="s">
        <v>110</v>
      </c>
      <c r="D3" s="1360" t="s">
        <v>111</v>
      </c>
      <c r="E3" s="1360" t="s">
        <v>350</v>
      </c>
      <c r="F3" s="1360" t="s">
        <v>112</v>
      </c>
      <c r="G3" s="1360" t="s">
        <v>315</v>
      </c>
      <c r="H3" s="1360" t="s">
        <v>113</v>
      </c>
      <c r="I3" s="1360" t="s">
        <v>265</v>
      </c>
      <c r="J3" s="1360" t="s">
        <v>284</v>
      </c>
      <c r="K3" s="1360" t="s">
        <v>320</v>
      </c>
      <c r="L3" s="1360" t="s">
        <v>321</v>
      </c>
      <c r="M3" s="1361" t="s">
        <v>375</v>
      </c>
    </row>
    <row r="4" spans="1:26" s="212" customFormat="1" ht="21.4" customHeight="1">
      <c r="A4" s="1077" t="s">
        <v>162</v>
      </c>
      <c r="B4" s="1078" t="s">
        <v>163</v>
      </c>
      <c r="C4" s="1079" t="s">
        <v>163</v>
      </c>
      <c r="D4" s="1079" t="s">
        <v>164</v>
      </c>
      <c r="E4" s="1079" t="s">
        <v>165</v>
      </c>
      <c r="F4" s="1079" t="s">
        <v>166</v>
      </c>
      <c r="G4" s="1079" t="s">
        <v>167</v>
      </c>
      <c r="H4" s="1079" t="s">
        <v>168</v>
      </c>
      <c r="I4" s="1074">
        <v>-8</v>
      </c>
      <c r="J4" s="1074">
        <v>-9</v>
      </c>
      <c r="K4" s="1075" t="s">
        <v>171</v>
      </c>
      <c r="L4" s="1075" t="s">
        <v>172</v>
      </c>
      <c r="M4" s="1080" t="s">
        <v>173</v>
      </c>
    </row>
    <row r="5" spans="1:26">
      <c r="A5" s="996" t="s">
        <v>56</v>
      </c>
      <c r="B5" s="166"/>
      <c r="C5" s="272"/>
      <c r="D5" s="600"/>
      <c r="E5" s="600"/>
      <c r="F5" s="600"/>
      <c r="G5" s="600"/>
      <c r="H5" s="600"/>
      <c r="I5" s="600"/>
      <c r="J5" s="600"/>
      <c r="K5" s="600"/>
      <c r="L5" s="600"/>
      <c r="M5" s="997">
        <f t="shared" ref="M5:M13" si="0">SUM(B5:L5)</f>
        <v>0</v>
      </c>
      <c r="P5" s="191"/>
      <c r="Q5" s="191"/>
      <c r="U5" s="212"/>
      <c r="V5" s="212"/>
      <c r="W5" s="212"/>
      <c r="X5" s="212"/>
      <c r="Y5" s="212"/>
      <c r="Z5" s="212"/>
    </row>
    <row r="6" spans="1:26">
      <c r="A6" s="297" t="s">
        <v>57</v>
      </c>
      <c r="B6" s="166"/>
      <c r="C6" s="273"/>
      <c r="D6" s="601"/>
      <c r="E6" s="601"/>
      <c r="F6" s="601">
        <v>0.15332499999999999</v>
      </c>
      <c r="G6" s="601"/>
      <c r="H6" s="601"/>
      <c r="I6" s="601"/>
      <c r="J6" s="601"/>
      <c r="K6" s="601"/>
      <c r="L6" s="601"/>
      <c r="M6" s="998">
        <f t="shared" si="0"/>
        <v>0.15332499999999999</v>
      </c>
      <c r="P6" s="191"/>
      <c r="Q6" s="191"/>
      <c r="U6" s="212"/>
      <c r="V6" s="212"/>
      <c r="W6" s="212"/>
      <c r="X6" s="212"/>
      <c r="Y6" s="212"/>
      <c r="Z6" s="212"/>
    </row>
    <row r="7" spans="1:26">
      <c r="A7" s="297" t="s">
        <v>221</v>
      </c>
      <c r="B7" s="166"/>
      <c r="C7" s="273"/>
      <c r="D7" s="601">
        <v>0.22267000000000001</v>
      </c>
      <c r="E7" s="601"/>
      <c r="F7" s="601"/>
      <c r="G7" s="601"/>
      <c r="H7" s="601"/>
      <c r="I7" s="601"/>
      <c r="J7" s="601"/>
      <c r="K7" s="601"/>
      <c r="L7" s="601"/>
      <c r="M7" s="998">
        <f t="shared" si="0"/>
        <v>0.22267000000000001</v>
      </c>
      <c r="P7" s="191"/>
      <c r="Q7" s="191"/>
      <c r="U7" s="212"/>
      <c r="V7" s="212"/>
      <c r="W7" s="212"/>
      <c r="X7" s="212"/>
      <c r="Y7" s="212"/>
      <c r="Z7" s="212"/>
    </row>
    <row r="8" spans="1:26">
      <c r="A8" s="297" t="s">
        <v>59</v>
      </c>
      <c r="B8" s="166"/>
      <c r="C8" s="273"/>
      <c r="D8" s="601"/>
      <c r="E8" s="601"/>
      <c r="F8" s="601">
        <v>1.5995553300000001</v>
      </c>
      <c r="G8" s="601"/>
      <c r="H8" s="601"/>
      <c r="I8" s="601"/>
      <c r="J8" s="601"/>
      <c r="K8" s="601"/>
      <c r="L8" s="601"/>
      <c r="M8" s="998">
        <f t="shared" si="0"/>
        <v>1.5995553300000001</v>
      </c>
      <c r="P8" s="191"/>
      <c r="Q8" s="191"/>
      <c r="U8" s="212"/>
      <c r="V8" s="212"/>
      <c r="W8" s="212"/>
      <c r="X8" s="212"/>
      <c r="Y8" s="212"/>
      <c r="Z8" s="212"/>
    </row>
    <row r="9" spans="1:26">
      <c r="A9" s="297" t="s">
        <v>60</v>
      </c>
      <c r="B9" s="166"/>
      <c r="C9" s="273"/>
      <c r="D9" s="601"/>
      <c r="E9" s="601"/>
      <c r="F9" s="601">
        <v>4.9520043600000001</v>
      </c>
      <c r="G9" s="601"/>
      <c r="H9" s="601"/>
      <c r="I9" s="601"/>
      <c r="J9" s="601"/>
      <c r="K9" s="601"/>
      <c r="L9" s="601">
        <v>0.12981600000000001</v>
      </c>
      <c r="M9" s="998">
        <f t="shared" si="0"/>
        <v>5.08182036</v>
      </c>
      <c r="P9" s="191"/>
      <c r="Q9" s="191"/>
      <c r="U9" s="212"/>
      <c r="V9" s="212"/>
      <c r="W9" s="212"/>
      <c r="X9" s="212"/>
      <c r="Y9" s="212"/>
      <c r="Z9" s="212"/>
    </row>
    <row r="10" spans="1:26">
      <c r="A10" s="297" t="s">
        <v>61</v>
      </c>
      <c r="B10" s="166"/>
      <c r="C10" s="273"/>
      <c r="D10" s="601"/>
      <c r="E10" s="601"/>
      <c r="F10" s="601">
        <v>5.1809716110000004</v>
      </c>
      <c r="G10" s="601"/>
      <c r="H10" s="601"/>
      <c r="I10" s="601"/>
      <c r="J10" s="601"/>
      <c r="K10" s="601"/>
      <c r="L10" s="601"/>
      <c r="M10" s="998">
        <f t="shared" si="0"/>
        <v>5.1809716110000004</v>
      </c>
      <c r="P10" s="191"/>
      <c r="Q10" s="191"/>
      <c r="U10" s="212"/>
      <c r="V10" s="212"/>
      <c r="W10" s="212"/>
      <c r="X10" s="212"/>
      <c r="Y10" s="212"/>
      <c r="Z10" s="212"/>
    </row>
    <row r="11" spans="1:26">
      <c r="A11" s="297" t="s">
        <v>62</v>
      </c>
      <c r="B11" s="166"/>
      <c r="C11" s="273"/>
      <c r="D11" s="601"/>
      <c r="E11" s="601"/>
      <c r="F11" s="601">
        <v>34.312074231999993</v>
      </c>
      <c r="G11" s="601"/>
      <c r="H11" s="601"/>
      <c r="I11" s="601"/>
      <c r="J11" s="601"/>
      <c r="K11" s="601"/>
      <c r="L11" s="601"/>
      <c r="M11" s="998">
        <f t="shared" si="0"/>
        <v>34.312074231999993</v>
      </c>
      <c r="P11" s="191"/>
      <c r="Q11" s="191"/>
      <c r="U11" s="212"/>
      <c r="V11" s="212"/>
      <c r="W11" s="212"/>
      <c r="X11" s="212"/>
      <c r="Y11" s="212"/>
      <c r="Z11" s="212"/>
    </row>
    <row r="12" spans="1:26">
      <c r="A12" s="297" t="s">
        <v>338</v>
      </c>
      <c r="B12" s="166"/>
      <c r="C12" s="273"/>
      <c r="D12" s="601"/>
      <c r="E12" s="601"/>
      <c r="F12" s="601">
        <v>19.80848357</v>
      </c>
      <c r="G12" s="601"/>
      <c r="H12" s="601"/>
      <c r="I12" s="601"/>
      <c r="J12" s="601"/>
      <c r="K12" s="601"/>
      <c r="L12" s="601"/>
      <c r="M12" s="998">
        <f t="shared" si="0"/>
        <v>19.80848357</v>
      </c>
      <c r="P12" s="191"/>
      <c r="Q12" s="191"/>
      <c r="U12" s="212"/>
      <c r="V12" s="212"/>
      <c r="W12" s="212"/>
      <c r="X12" s="212"/>
      <c r="Y12" s="212"/>
      <c r="Z12" s="212"/>
    </row>
    <row r="13" spans="1:26">
      <c r="A13" s="297" t="s">
        <v>337</v>
      </c>
      <c r="B13" s="166"/>
      <c r="C13" s="273"/>
      <c r="D13" s="601"/>
      <c r="E13" s="601"/>
      <c r="F13" s="601">
        <v>0.11069686999999999</v>
      </c>
      <c r="G13" s="601"/>
      <c r="H13" s="601"/>
      <c r="I13" s="601"/>
      <c r="J13" s="601"/>
      <c r="K13" s="601"/>
      <c r="L13" s="601"/>
      <c r="M13" s="998">
        <f t="shared" si="0"/>
        <v>0.11069686999999999</v>
      </c>
      <c r="P13" s="191"/>
      <c r="Q13" s="191"/>
      <c r="U13" s="212"/>
      <c r="V13" s="212"/>
      <c r="W13" s="212"/>
      <c r="X13" s="212"/>
      <c r="Y13" s="212"/>
      <c r="Z13" s="212"/>
    </row>
    <row r="14" spans="1:26" ht="25.5">
      <c r="A14" s="1351" t="s">
        <v>146</v>
      </c>
      <c r="B14" s="1352">
        <f t="shared" ref="B14:M14" si="1">SUM(B5:B13)</f>
        <v>0</v>
      </c>
      <c r="C14" s="1036">
        <f t="shared" si="1"/>
        <v>0</v>
      </c>
      <c r="D14" s="1036">
        <f t="shared" si="1"/>
        <v>0.22267000000000001</v>
      </c>
      <c r="E14" s="1036">
        <f t="shared" si="1"/>
        <v>0</v>
      </c>
      <c r="F14" s="1036">
        <f t="shared" si="1"/>
        <v>66.117110972999996</v>
      </c>
      <c r="G14" s="1036">
        <f t="shared" si="1"/>
        <v>0</v>
      </c>
      <c r="H14" s="1036">
        <f t="shared" si="1"/>
        <v>0</v>
      </c>
      <c r="I14" s="1036">
        <f t="shared" si="1"/>
        <v>0</v>
      </c>
      <c r="J14" s="1036">
        <f t="shared" si="1"/>
        <v>0</v>
      </c>
      <c r="K14" s="1036">
        <f t="shared" si="1"/>
        <v>0</v>
      </c>
      <c r="L14" s="1036">
        <f t="shared" si="1"/>
        <v>0.12981600000000001</v>
      </c>
      <c r="M14" s="1353">
        <f t="shared" si="1"/>
        <v>66.469596972999994</v>
      </c>
      <c r="P14" s="191"/>
      <c r="Q14" s="191"/>
      <c r="U14" s="212"/>
      <c r="V14" s="212"/>
      <c r="W14" s="212"/>
      <c r="X14" s="212"/>
      <c r="Y14" s="212"/>
      <c r="Z14" s="212"/>
    </row>
    <row r="15" spans="1:26">
      <c r="A15" s="996" t="s">
        <v>230</v>
      </c>
      <c r="B15" s="166"/>
      <c r="C15" s="272">
        <v>7.6882549999999994E-2</v>
      </c>
      <c r="D15" s="600"/>
      <c r="E15" s="600"/>
      <c r="F15" s="600"/>
      <c r="G15" s="600"/>
      <c r="H15" s="600"/>
      <c r="I15" s="600"/>
      <c r="J15" s="600"/>
      <c r="K15" s="600"/>
      <c r="L15" s="600"/>
      <c r="M15" s="999">
        <f t="shared" ref="M15:M32" si="2">SUM(B15:L15)</f>
        <v>7.6882549999999994E-2</v>
      </c>
      <c r="P15" s="191"/>
      <c r="Q15" s="191"/>
      <c r="U15" s="212"/>
      <c r="V15" s="212"/>
      <c r="W15" s="212"/>
      <c r="X15" s="212"/>
      <c r="Y15" s="212"/>
      <c r="Z15" s="212"/>
    </row>
    <row r="16" spans="1:26">
      <c r="A16" s="297" t="s">
        <v>231</v>
      </c>
      <c r="B16" s="166"/>
      <c r="C16" s="273">
        <v>6.2851759999999993E-2</v>
      </c>
      <c r="D16" s="601">
        <v>0.18439</v>
      </c>
      <c r="E16" s="601">
        <v>1.0232E-2</v>
      </c>
      <c r="F16" s="601"/>
      <c r="G16" s="601"/>
      <c r="H16" s="601"/>
      <c r="I16" s="601"/>
      <c r="J16" s="601"/>
      <c r="K16" s="601"/>
      <c r="L16" s="601"/>
      <c r="M16" s="1000">
        <f t="shared" si="2"/>
        <v>0.25747376</v>
      </c>
      <c r="P16" s="191"/>
      <c r="Q16" s="191"/>
      <c r="U16" s="212"/>
      <c r="V16" s="212"/>
      <c r="W16" s="212"/>
      <c r="X16" s="212"/>
      <c r="Y16" s="212"/>
      <c r="Z16" s="212"/>
    </row>
    <row r="17" spans="1:26">
      <c r="A17" s="297" t="s">
        <v>232</v>
      </c>
      <c r="B17" s="166"/>
      <c r="C17" s="273"/>
      <c r="D17" s="601">
        <v>1.4326699999999999</v>
      </c>
      <c r="E17" s="601"/>
      <c r="F17" s="601"/>
      <c r="G17" s="601"/>
      <c r="H17" s="601"/>
      <c r="I17" s="601"/>
      <c r="J17" s="601"/>
      <c r="K17" s="601"/>
      <c r="L17" s="601">
        <v>0.51822408800000008</v>
      </c>
      <c r="M17" s="1000">
        <f t="shared" si="2"/>
        <v>1.9508940880000001</v>
      </c>
      <c r="P17" s="191"/>
      <c r="Q17" s="191"/>
      <c r="U17" s="212"/>
      <c r="V17" s="212"/>
      <c r="W17" s="212"/>
      <c r="X17" s="212"/>
      <c r="Y17" s="212"/>
      <c r="Z17" s="212"/>
    </row>
    <row r="18" spans="1:26">
      <c r="A18" s="297" t="s">
        <v>233</v>
      </c>
      <c r="B18" s="166"/>
      <c r="C18" s="273">
        <v>6.0265560000000003E-2</v>
      </c>
      <c r="D18" s="601">
        <v>7.9625000000000001E-2</v>
      </c>
      <c r="E18" s="601"/>
      <c r="F18" s="601"/>
      <c r="G18" s="601"/>
      <c r="H18" s="601"/>
      <c r="I18" s="601"/>
      <c r="J18" s="601"/>
      <c r="K18" s="601"/>
      <c r="L18" s="601">
        <v>19.460389042999996</v>
      </c>
      <c r="M18" s="1000">
        <f t="shared" si="2"/>
        <v>19.600279602999997</v>
      </c>
      <c r="P18" s="191"/>
      <c r="Q18" s="191"/>
      <c r="U18" s="212"/>
      <c r="V18" s="212"/>
      <c r="W18" s="212"/>
      <c r="X18" s="212"/>
      <c r="Y18" s="212"/>
      <c r="Z18" s="212"/>
    </row>
    <row r="19" spans="1:26">
      <c r="A19" s="297" t="s">
        <v>234</v>
      </c>
      <c r="B19" s="166"/>
      <c r="C19" s="273"/>
      <c r="D19" s="601">
        <v>1.41269281</v>
      </c>
      <c r="E19" s="601"/>
      <c r="F19" s="601">
        <v>0.67646084400000006</v>
      </c>
      <c r="G19" s="601">
        <v>0.29656500000000002</v>
      </c>
      <c r="H19" s="601"/>
      <c r="I19" s="601"/>
      <c r="J19" s="601">
        <v>0.97651368999999988</v>
      </c>
      <c r="K19" s="601"/>
      <c r="L19" s="601">
        <v>5.4469526029999997</v>
      </c>
      <c r="M19" s="1000">
        <f t="shared" si="2"/>
        <v>8.8091849470000003</v>
      </c>
      <c r="P19" s="191"/>
      <c r="Q19" s="191"/>
      <c r="U19" s="212"/>
      <c r="V19" s="212"/>
      <c r="W19" s="212"/>
      <c r="X19" s="212"/>
      <c r="Y19" s="212"/>
      <c r="Z19" s="212"/>
    </row>
    <row r="20" spans="1:26">
      <c r="A20" s="297" t="s">
        <v>235</v>
      </c>
      <c r="B20" s="166"/>
      <c r="C20" s="273"/>
      <c r="D20" s="601">
        <v>2.3310840900000005</v>
      </c>
      <c r="E20" s="601"/>
      <c r="F20" s="601">
        <v>2.8607080300000001</v>
      </c>
      <c r="G20" s="601">
        <v>3.0036570200000003</v>
      </c>
      <c r="H20" s="601"/>
      <c r="I20" s="601"/>
      <c r="J20" s="601">
        <v>0.64361899999999994</v>
      </c>
      <c r="K20" s="601"/>
      <c r="L20" s="601">
        <v>0.77107399399999987</v>
      </c>
      <c r="M20" s="1000">
        <f t="shared" si="2"/>
        <v>9.6101421340000002</v>
      </c>
      <c r="P20" s="191"/>
      <c r="Q20" s="191"/>
      <c r="U20" s="212"/>
      <c r="V20" s="212"/>
      <c r="W20" s="212"/>
      <c r="X20" s="212"/>
      <c r="Y20" s="212"/>
      <c r="Z20" s="212"/>
    </row>
    <row r="21" spans="1:26">
      <c r="A21" s="297" t="s">
        <v>236</v>
      </c>
      <c r="B21" s="166"/>
      <c r="C21" s="273"/>
      <c r="D21" s="601">
        <v>2.0695559699999997</v>
      </c>
      <c r="E21" s="601"/>
      <c r="F21" s="601">
        <v>3.6761100499999992</v>
      </c>
      <c r="G21" s="601">
        <v>43.798933689999991</v>
      </c>
      <c r="H21" s="601">
        <v>0.22344957000000001</v>
      </c>
      <c r="I21" s="601">
        <v>5.4005000000000004E-2</v>
      </c>
      <c r="J21" s="1001">
        <v>3.3526436399999997</v>
      </c>
      <c r="K21" s="601"/>
      <c r="L21" s="601">
        <v>0.59105800000000019</v>
      </c>
      <c r="M21" s="1000">
        <f t="shared" si="2"/>
        <v>53.765755919999982</v>
      </c>
      <c r="P21" s="191"/>
      <c r="Q21" s="191"/>
      <c r="U21" s="212"/>
      <c r="V21" s="212"/>
      <c r="W21" s="212"/>
      <c r="X21" s="212"/>
      <c r="Y21" s="212"/>
      <c r="Z21" s="212"/>
    </row>
    <row r="22" spans="1:26">
      <c r="A22" s="297" t="s">
        <v>237</v>
      </c>
      <c r="B22" s="166"/>
      <c r="C22" s="273"/>
      <c r="D22" s="601">
        <v>1.8924658700000001</v>
      </c>
      <c r="E22" s="601"/>
      <c r="F22" s="601">
        <v>7.9397590000000005</v>
      </c>
      <c r="G22" s="601">
        <v>26.226339120000006</v>
      </c>
      <c r="H22" s="601">
        <v>6.3739408000000015</v>
      </c>
      <c r="I22" s="601">
        <v>0.79211276999999991</v>
      </c>
      <c r="J22" s="1001">
        <v>10.94323544</v>
      </c>
      <c r="K22" s="601">
        <v>14.689820569999998</v>
      </c>
      <c r="L22" s="601">
        <v>2.3953399999999996</v>
      </c>
      <c r="M22" s="1000">
        <f t="shared" si="2"/>
        <v>71.253013570000022</v>
      </c>
      <c r="P22" s="191"/>
      <c r="Q22" s="191"/>
      <c r="U22" s="212"/>
      <c r="V22" s="212"/>
      <c r="W22" s="212"/>
      <c r="X22" s="212"/>
      <c r="Y22" s="212"/>
      <c r="Z22" s="212"/>
    </row>
    <row r="23" spans="1:26">
      <c r="A23" s="297" t="s">
        <v>238</v>
      </c>
      <c r="B23" s="166"/>
      <c r="C23" s="273"/>
      <c r="D23" s="601">
        <v>2.2013077200000004</v>
      </c>
      <c r="E23" s="601"/>
      <c r="F23" s="601">
        <v>28.260476214999997</v>
      </c>
      <c r="G23" s="601">
        <v>19.127080909999997</v>
      </c>
      <c r="H23" s="601">
        <v>0.91521916000000003</v>
      </c>
      <c r="I23" s="601"/>
      <c r="J23" s="601">
        <v>8.1374422199999987</v>
      </c>
      <c r="K23" s="601">
        <v>4.9228403199999997</v>
      </c>
      <c r="L23" s="601">
        <v>5.1118589999999998E-2</v>
      </c>
      <c r="M23" s="1000">
        <f t="shared" si="2"/>
        <v>63.615485134999986</v>
      </c>
      <c r="P23" s="191"/>
      <c r="Q23" s="191"/>
      <c r="U23" s="212"/>
      <c r="V23" s="212"/>
      <c r="W23" s="212"/>
      <c r="X23" s="212"/>
      <c r="Y23" s="212"/>
      <c r="Z23" s="212"/>
    </row>
    <row r="24" spans="1:26">
      <c r="A24" s="297" t="s">
        <v>239</v>
      </c>
      <c r="B24" s="166"/>
      <c r="C24" s="273"/>
      <c r="D24" s="601">
        <v>11.45360106</v>
      </c>
      <c r="E24" s="601"/>
      <c r="F24" s="601">
        <v>17.909350319999998</v>
      </c>
      <c r="G24" s="601">
        <v>23.649977640000003</v>
      </c>
      <c r="H24" s="601">
        <v>26.235443430000004</v>
      </c>
      <c r="I24" s="601">
        <v>0.37064637999999994</v>
      </c>
      <c r="J24" s="601">
        <v>4.8743257799999995</v>
      </c>
      <c r="K24" s="601">
        <v>1.243625</v>
      </c>
      <c r="L24" s="601">
        <v>1.9280500000000003</v>
      </c>
      <c r="M24" s="1000">
        <f t="shared" si="2"/>
        <v>87.665019610000002</v>
      </c>
      <c r="P24" s="191"/>
      <c r="Q24" s="191"/>
      <c r="U24" s="212"/>
      <c r="V24" s="212"/>
      <c r="W24" s="212"/>
      <c r="X24" s="212"/>
      <c r="Y24" s="212"/>
      <c r="Z24" s="212"/>
    </row>
    <row r="25" spans="1:26">
      <c r="A25" s="297" t="s">
        <v>240</v>
      </c>
      <c r="B25" s="166"/>
      <c r="C25" s="273"/>
      <c r="D25" s="601">
        <v>125.29438486299996</v>
      </c>
      <c r="E25" s="601"/>
      <c r="F25" s="601">
        <v>40.852116460000005</v>
      </c>
      <c r="G25" s="601">
        <v>27.954701699999994</v>
      </c>
      <c r="H25" s="601">
        <v>27.904631099999996</v>
      </c>
      <c r="I25" s="601">
        <v>19.848207289999998</v>
      </c>
      <c r="J25" s="601">
        <v>16.692307829999997</v>
      </c>
      <c r="K25" s="601"/>
      <c r="L25" s="601">
        <v>1.5999999999999999</v>
      </c>
      <c r="M25" s="1000">
        <f t="shared" si="2"/>
        <v>260.14634924299997</v>
      </c>
      <c r="P25" s="191"/>
      <c r="Q25" s="191"/>
      <c r="U25" s="212"/>
      <c r="V25" s="212"/>
      <c r="W25" s="212"/>
      <c r="X25" s="212"/>
      <c r="Y25" s="212"/>
      <c r="Z25" s="212"/>
    </row>
    <row r="26" spans="1:26">
      <c r="A26" s="297" t="s">
        <v>241</v>
      </c>
      <c r="B26" s="166"/>
      <c r="C26" s="273"/>
      <c r="D26" s="601">
        <v>17.278411860000002</v>
      </c>
      <c r="E26" s="601"/>
      <c r="F26" s="601">
        <v>17.737913320000004</v>
      </c>
      <c r="G26" s="601">
        <v>19.430267019999999</v>
      </c>
      <c r="H26" s="601">
        <v>3.8734550300000006</v>
      </c>
      <c r="I26" s="601">
        <v>73.92407771000002</v>
      </c>
      <c r="J26" s="601">
        <v>0.31208127000000002</v>
      </c>
      <c r="K26" s="601"/>
      <c r="L26" s="601">
        <v>1.5602439699999999</v>
      </c>
      <c r="M26" s="1000">
        <f t="shared" si="2"/>
        <v>134.11645018000002</v>
      </c>
      <c r="O26" s="210"/>
      <c r="P26" s="1354"/>
      <c r="Q26" s="191"/>
      <c r="U26" s="212"/>
      <c r="V26" s="212"/>
      <c r="W26" s="212"/>
      <c r="X26" s="212"/>
      <c r="Y26" s="212"/>
      <c r="Z26" s="212"/>
    </row>
    <row r="27" spans="1:26">
      <c r="A27" s="297" t="s">
        <v>242</v>
      </c>
      <c r="B27" s="166"/>
      <c r="C27" s="273"/>
      <c r="D27" s="601">
        <v>12.947969257999993</v>
      </c>
      <c r="E27" s="601"/>
      <c r="F27" s="601">
        <v>16.152360526000002</v>
      </c>
      <c r="G27" s="601">
        <v>4.0835659999999994</v>
      </c>
      <c r="H27" s="601">
        <v>5.2549932999999998</v>
      </c>
      <c r="I27" s="601">
        <v>62.64469054000002</v>
      </c>
      <c r="J27" s="601">
        <v>13.708191119999999</v>
      </c>
      <c r="K27" s="601"/>
      <c r="L27" s="601">
        <v>0.76053711000000002</v>
      </c>
      <c r="M27" s="1000">
        <f t="shared" si="2"/>
        <v>115.55230785400001</v>
      </c>
      <c r="O27" s="210"/>
      <c r="P27" s="1354"/>
      <c r="Q27" s="191"/>
      <c r="U27" s="212"/>
      <c r="V27" s="212"/>
      <c r="W27" s="212"/>
      <c r="X27" s="212"/>
      <c r="Y27" s="212"/>
      <c r="Z27" s="212"/>
    </row>
    <row r="28" spans="1:26">
      <c r="A28" s="297" t="s">
        <v>243</v>
      </c>
      <c r="B28" s="166"/>
      <c r="C28" s="273"/>
      <c r="D28" s="601">
        <v>10.879776780000002</v>
      </c>
      <c r="E28" s="601"/>
      <c r="F28" s="601">
        <v>4.01</v>
      </c>
      <c r="G28" s="601"/>
      <c r="H28" s="264"/>
      <c r="I28" s="601">
        <v>108.54285226300001</v>
      </c>
      <c r="J28" s="601">
        <v>4.3369224500000003</v>
      </c>
      <c r="K28" s="601"/>
      <c r="L28" s="601">
        <v>0.65039099999999994</v>
      </c>
      <c r="M28" s="1000">
        <f t="shared" si="2"/>
        <v>128.41994249300004</v>
      </c>
      <c r="O28" s="210"/>
      <c r="P28" s="1354"/>
      <c r="Q28" s="191"/>
      <c r="U28" s="212"/>
      <c r="V28" s="212"/>
      <c r="W28" s="212"/>
      <c r="X28" s="212"/>
      <c r="Y28" s="212"/>
      <c r="Z28" s="212"/>
    </row>
    <row r="29" spans="1:26">
      <c r="A29" s="297" t="s">
        <v>244</v>
      </c>
      <c r="B29" s="166"/>
      <c r="C29" s="273"/>
      <c r="D29" s="601">
        <v>5.3669653650000004</v>
      </c>
      <c r="E29" s="601"/>
      <c r="F29" s="601"/>
      <c r="G29" s="601"/>
      <c r="H29" s="601"/>
      <c r="I29" s="601">
        <v>3.1868678199999994</v>
      </c>
      <c r="J29" s="601">
        <v>7.4454481400000008</v>
      </c>
      <c r="K29" s="601"/>
      <c r="L29" s="601"/>
      <c r="M29" s="1000">
        <f t="shared" si="2"/>
        <v>15.999281325000002</v>
      </c>
      <c r="O29" s="210"/>
      <c r="P29" s="1354"/>
      <c r="Q29" s="191"/>
      <c r="U29" s="212"/>
      <c r="V29" s="212"/>
      <c r="W29" s="212"/>
      <c r="X29" s="212"/>
      <c r="Y29" s="212"/>
      <c r="Z29" s="212"/>
    </row>
    <row r="30" spans="1:26">
      <c r="A30" s="297" t="s">
        <v>245</v>
      </c>
      <c r="B30" s="166"/>
      <c r="C30" s="273"/>
      <c r="D30" s="601">
        <v>1.406229527</v>
      </c>
      <c r="E30" s="601"/>
      <c r="F30" s="601"/>
      <c r="G30" s="601"/>
      <c r="H30" s="601"/>
      <c r="I30" s="601"/>
      <c r="J30" s="601"/>
      <c r="K30" s="601"/>
      <c r="L30" s="601"/>
      <c r="M30" s="1000">
        <f t="shared" si="2"/>
        <v>1.406229527</v>
      </c>
      <c r="O30" s="210"/>
      <c r="P30" s="1354"/>
      <c r="Q30" s="191"/>
      <c r="U30" s="212"/>
      <c r="V30" s="212"/>
      <c r="W30" s="212"/>
      <c r="X30" s="212"/>
      <c r="Y30" s="212"/>
      <c r="Z30" s="212"/>
    </row>
    <row r="31" spans="1:26">
      <c r="A31" s="297" t="s">
        <v>246</v>
      </c>
      <c r="B31" s="166"/>
      <c r="C31" s="273"/>
      <c r="D31" s="601">
        <v>8.4988779899999987</v>
      </c>
      <c r="E31" s="601"/>
      <c r="F31" s="601"/>
      <c r="G31" s="601"/>
      <c r="H31" s="601"/>
      <c r="I31" s="601"/>
      <c r="J31" s="601"/>
      <c r="K31" s="601"/>
      <c r="L31" s="601"/>
      <c r="M31" s="1000">
        <f t="shared" si="2"/>
        <v>8.4988779899999987</v>
      </c>
      <c r="O31" s="210"/>
      <c r="P31" s="1354"/>
      <c r="Q31" s="191"/>
      <c r="U31" s="212"/>
      <c r="V31" s="212"/>
      <c r="W31" s="212"/>
      <c r="X31" s="212"/>
      <c r="Y31" s="212"/>
      <c r="Z31" s="212"/>
    </row>
    <row r="32" spans="1:26">
      <c r="A32" s="297" t="s">
        <v>289</v>
      </c>
      <c r="B32" s="166"/>
      <c r="C32" s="273"/>
      <c r="D32" s="601"/>
      <c r="E32" s="601"/>
      <c r="F32" s="601"/>
      <c r="G32" s="601"/>
      <c r="H32" s="601"/>
      <c r="I32" s="601"/>
      <c r="J32" s="601">
        <v>8.3803000000000002E-2</v>
      </c>
      <c r="K32" s="601"/>
      <c r="L32" s="601">
        <v>0.22576262</v>
      </c>
      <c r="M32" s="1000">
        <f t="shared" si="2"/>
        <v>0.30956561999999999</v>
      </c>
      <c r="O32" s="210"/>
      <c r="P32" s="1354"/>
      <c r="Q32" s="191"/>
      <c r="U32" s="212"/>
      <c r="V32" s="212"/>
      <c r="W32" s="212"/>
      <c r="X32" s="212"/>
      <c r="Y32" s="212"/>
      <c r="Z32" s="212"/>
    </row>
    <row r="33" spans="1:26" ht="30" customHeight="1">
      <c r="A33" s="1351" t="s">
        <v>483</v>
      </c>
      <c r="B33" s="1355">
        <f>SUM(B15:B31)</f>
        <v>0</v>
      </c>
      <c r="C33" s="1356">
        <f t="shared" ref="C33:M33" si="3">SUM(C15:C32)</f>
        <v>0.19999986999999997</v>
      </c>
      <c r="D33" s="1356">
        <f t="shared" si="3"/>
        <v>204.73000816299998</v>
      </c>
      <c r="E33" s="1356">
        <f t="shared" si="3"/>
        <v>1.0232E-2</v>
      </c>
      <c r="F33" s="1356">
        <f t="shared" si="3"/>
        <v>140.07525476500001</v>
      </c>
      <c r="G33" s="1356">
        <f t="shared" si="3"/>
        <v>167.57108809999997</v>
      </c>
      <c r="H33" s="1356">
        <f t="shared" si="3"/>
        <v>70.781132389999996</v>
      </c>
      <c r="I33" s="1356">
        <f t="shared" si="3"/>
        <v>269.36345977300005</v>
      </c>
      <c r="J33" s="1356">
        <f t="shared" si="3"/>
        <v>71.506533579999996</v>
      </c>
      <c r="K33" s="1356">
        <f t="shared" si="3"/>
        <v>20.856285889999999</v>
      </c>
      <c r="L33" s="1356">
        <f t="shared" si="3"/>
        <v>35.959141017999997</v>
      </c>
      <c r="M33" s="1301">
        <f t="shared" si="3"/>
        <v>981.05313554899988</v>
      </c>
      <c r="P33" s="1354"/>
      <c r="Q33" s="191"/>
      <c r="U33" s="212"/>
      <c r="V33" s="212"/>
      <c r="W33" s="212"/>
      <c r="X33" s="212"/>
      <c r="Y33" s="212"/>
      <c r="Z33" s="212"/>
    </row>
    <row r="34" spans="1:26" ht="17.25" thickBot="1">
      <c r="A34" s="1357" t="s">
        <v>141</v>
      </c>
      <c r="B34" s="1358">
        <f t="shared" ref="B34:K34" si="4">B33+B14</f>
        <v>0</v>
      </c>
      <c r="C34" s="1359">
        <f>C33+C14</f>
        <v>0.19999986999999997</v>
      </c>
      <c r="D34" s="1359">
        <f>D33+D14</f>
        <v>204.95267816299997</v>
      </c>
      <c r="E34" s="1359">
        <f t="shared" si="4"/>
        <v>1.0232E-2</v>
      </c>
      <c r="F34" s="1359">
        <f t="shared" si="4"/>
        <v>206.19236573800001</v>
      </c>
      <c r="G34" s="1359">
        <f t="shared" si="4"/>
        <v>167.57108809999997</v>
      </c>
      <c r="H34" s="1359">
        <f t="shared" si="4"/>
        <v>70.781132389999996</v>
      </c>
      <c r="I34" s="1359">
        <f t="shared" si="4"/>
        <v>269.36345977300005</v>
      </c>
      <c r="J34" s="1359">
        <f t="shared" si="4"/>
        <v>71.506533579999996</v>
      </c>
      <c r="K34" s="1359">
        <f t="shared" si="4"/>
        <v>20.856285889999999</v>
      </c>
      <c r="L34" s="1359">
        <f>L33+L14</f>
        <v>36.088957017999995</v>
      </c>
      <c r="M34" s="1302">
        <f>M33+M14</f>
        <v>1047.5227325219998</v>
      </c>
      <c r="Q34" s="191"/>
      <c r="U34" s="212"/>
      <c r="V34" s="212"/>
      <c r="W34" s="212"/>
      <c r="X34" s="212"/>
      <c r="Y34" s="212"/>
      <c r="Z34" s="212"/>
    </row>
    <row r="35" spans="1:26" ht="17.25" thickTop="1"/>
  </sheetData>
  <sortState ref="P477:R486">
    <sortCondition descending="1" ref="R477:R486"/>
  </sortState>
  <mergeCells count="2">
    <mergeCell ref="A2:M2"/>
    <mergeCell ref="A1:M1"/>
  </mergeCells>
  <phoneticPr fontId="4" type="noConversion"/>
  <printOptions horizontalCentered="1"/>
  <pageMargins left="0.39370078740157483" right="0.39370078740157483" top="0.59055118110236227" bottom="0.47244094488188981" header="0.19685039370078741" footer="0.19685039370078741"/>
  <pageSetup paperSize="9" scale="87" firstPageNumber="21" orientation="portrait" useFirstPageNumber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>
    <tabColor rgb="FF92D050"/>
    <pageSetUpPr fitToPage="1"/>
  </sheetPr>
  <dimension ref="A1:Y175"/>
  <sheetViews>
    <sheetView topLeftCell="B1" zoomScale="90" zoomScaleNormal="90" workbookViewId="0">
      <pane ySplit="5" topLeftCell="A6" activePane="bottomLeft" state="frozen"/>
      <selection activeCell="U160" sqref="U160"/>
      <selection pane="bottomLeft" activeCell="P177" sqref="P177"/>
    </sheetView>
  </sheetViews>
  <sheetFormatPr defaultColWidth="9.140625" defaultRowHeight="15"/>
  <cols>
    <col min="1" max="1" width="0.7109375" style="26" hidden="1" customWidth="1"/>
    <col min="2" max="2" width="12.28515625" style="27" customWidth="1"/>
    <col min="3" max="4" width="7.28515625" style="45" customWidth="1"/>
    <col min="5" max="5" width="8.28515625" style="45" customWidth="1"/>
    <col min="6" max="6" width="7.28515625" style="45" customWidth="1"/>
    <col min="7" max="7" width="8.28515625" style="45" customWidth="1"/>
    <col min="8" max="10" width="7.28515625" style="45" customWidth="1"/>
    <col min="11" max="11" width="8.7109375" style="45" customWidth="1"/>
    <col min="12" max="13" width="7.28515625" style="45" customWidth="1"/>
    <col min="14" max="14" width="7.28515625" style="46" customWidth="1"/>
    <col min="15" max="15" width="10.7109375" style="46" customWidth="1"/>
    <col min="16" max="16" width="8.7109375" style="26" customWidth="1"/>
    <col min="17" max="17" width="7.7109375" style="26" customWidth="1"/>
    <col min="18" max="20" width="5.7109375" style="26" customWidth="1"/>
    <col min="21" max="22" width="5" style="26" customWidth="1"/>
    <col min="23" max="23" width="8.140625" style="26" customWidth="1"/>
    <col min="24" max="24" width="6.85546875" style="7" customWidth="1"/>
    <col min="25" max="25" width="5.85546875" style="7" customWidth="1"/>
    <col min="26" max="26" width="3.7109375" style="26" customWidth="1"/>
    <col min="27" max="16384" width="9.140625" style="26"/>
  </cols>
  <sheetData>
    <row r="1" spans="2:15">
      <c r="B1" s="7" t="s">
        <v>283</v>
      </c>
    </row>
    <row r="2" spans="2:15">
      <c r="B2" s="26"/>
      <c r="L2" s="1" t="s">
        <v>257</v>
      </c>
    </row>
    <row r="3" spans="2:15" ht="6.75" customHeight="1"/>
    <row r="4" spans="2:15" s="28" customFormat="1" ht="72" customHeight="1">
      <c r="B4" s="47" t="s">
        <v>150</v>
      </c>
      <c r="C4" s="49" t="s">
        <v>207</v>
      </c>
      <c r="D4" s="48" t="s">
        <v>110</v>
      </c>
      <c r="E4" s="48" t="s">
        <v>111</v>
      </c>
      <c r="F4" s="48" t="s">
        <v>137</v>
      </c>
      <c r="G4" s="48" t="s">
        <v>112</v>
      </c>
      <c r="H4" s="48" t="s">
        <v>138</v>
      </c>
      <c r="I4" s="48" t="s">
        <v>113</v>
      </c>
      <c r="J4" s="48" t="s">
        <v>75</v>
      </c>
      <c r="K4" s="48" t="s">
        <v>265</v>
      </c>
      <c r="L4" s="48" t="s">
        <v>284</v>
      </c>
      <c r="M4" s="48" t="s">
        <v>139</v>
      </c>
      <c r="N4" s="48" t="s">
        <v>156</v>
      </c>
      <c r="O4" s="50" t="s">
        <v>286</v>
      </c>
    </row>
    <row r="5" spans="2:15" s="28" customFormat="1" ht="21.4" customHeight="1">
      <c r="B5" s="51" t="s">
        <v>162</v>
      </c>
      <c r="C5" s="52" t="s">
        <v>163</v>
      </c>
      <c r="D5" s="52" t="s">
        <v>164</v>
      </c>
      <c r="E5" s="52" t="s">
        <v>165</v>
      </c>
      <c r="F5" s="52" t="s">
        <v>166</v>
      </c>
      <c r="G5" s="52" t="s">
        <v>167</v>
      </c>
      <c r="H5" s="52" t="s">
        <v>168</v>
      </c>
      <c r="I5" s="52" t="s">
        <v>169</v>
      </c>
      <c r="J5" s="52" t="s">
        <v>170</v>
      </c>
      <c r="K5" s="52" t="s">
        <v>171</v>
      </c>
      <c r="L5" s="52" t="s">
        <v>172</v>
      </c>
      <c r="M5" s="52" t="s">
        <v>173</v>
      </c>
      <c r="N5" s="52" t="s">
        <v>174</v>
      </c>
      <c r="O5" s="53" t="s">
        <v>175</v>
      </c>
    </row>
    <row r="6" spans="2:15" s="28" customFormat="1" ht="21.4" hidden="1" customHeight="1">
      <c r="B6" s="54" t="s">
        <v>133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</row>
    <row r="7" spans="2:15" s="28" customFormat="1" ht="21.4" hidden="1" customHeight="1">
      <c r="B7" s="54" t="s">
        <v>56</v>
      </c>
      <c r="C7" s="54"/>
      <c r="D7" s="54"/>
      <c r="E7" s="54"/>
      <c r="F7" s="54"/>
      <c r="G7" s="54">
        <v>5.0999999999999997E-2</v>
      </c>
      <c r="H7" s="54"/>
      <c r="I7" s="54"/>
      <c r="J7" s="54"/>
      <c r="K7" s="54"/>
      <c r="L7" s="54"/>
      <c r="M7" s="54"/>
      <c r="N7" s="54">
        <v>3.2000000000000001E-2</v>
      </c>
      <c r="O7" s="55">
        <v>8.299999999999999E-2</v>
      </c>
    </row>
    <row r="8" spans="2:15" s="28" customFormat="1" ht="21.4" hidden="1" customHeight="1">
      <c r="B8" s="54" t="s">
        <v>57</v>
      </c>
      <c r="C8" s="54"/>
      <c r="D8" s="54"/>
      <c r="E8" s="54"/>
      <c r="F8" s="54"/>
      <c r="G8" s="54">
        <v>0.28199999999999997</v>
      </c>
      <c r="H8" s="54"/>
      <c r="I8" s="54"/>
      <c r="J8" s="54"/>
      <c r="K8" s="54"/>
      <c r="L8" s="54"/>
      <c r="M8" s="54"/>
      <c r="N8" s="54"/>
      <c r="O8" s="55">
        <v>0.28199999999999997</v>
      </c>
    </row>
    <row r="9" spans="2:15" s="28" customFormat="1" ht="21.4" hidden="1" customHeight="1">
      <c r="B9" s="54" t="s">
        <v>116</v>
      </c>
      <c r="C9" s="54"/>
      <c r="D9" s="54"/>
      <c r="E9" s="54">
        <v>0.159</v>
      </c>
      <c r="F9" s="54"/>
      <c r="G9" s="54"/>
      <c r="H9" s="54"/>
      <c r="I9" s="54"/>
      <c r="J9" s="54"/>
      <c r="K9" s="54"/>
      <c r="L9" s="54"/>
      <c r="M9" s="54"/>
      <c r="N9" s="54">
        <v>2.1999999999999999E-2</v>
      </c>
      <c r="O9" s="55">
        <v>0.18099999999999999</v>
      </c>
    </row>
    <row r="10" spans="2:15" s="28" customFormat="1" ht="21.4" hidden="1" customHeight="1">
      <c r="B10" s="54" t="s">
        <v>59</v>
      </c>
      <c r="C10" s="54"/>
      <c r="D10" s="54"/>
      <c r="E10" s="54"/>
      <c r="F10" s="54"/>
      <c r="G10" s="54">
        <v>0.47099999999999997</v>
      </c>
      <c r="H10" s="54"/>
      <c r="I10" s="54"/>
      <c r="J10" s="54"/>
      <c r="K10" s="54"/>
      <c r="L10" s="54"/>
      <c r="M10" s="54"/>
      <c r="N10" s="54"/>
      <c r="O10" s="55">
        <v>0.47099999999999997</v>
      </c>
    </row>
    <row r="11" spans="2:15" s="28" customFormat="1" ht="21.4" hidden="1" customHeight="1">
      <c r="B11" s="54" t="s">
        <v>60</v>
      </c>
      <c r="C11" s="54"/>
      <c r="D11" s="54"/>
      <c r="E11" s="54"/>
      <c r="F11" s="54"/>
      <c r="G11" s="54">
        <v>1.409</v>
      </c>
      <c r="H11" s="54">
        <v>0.67600000000000005</v>
      </c>
      <c r="I11" s="54"/>
      <c r="J11" s="54"/>
      <c r="K11" s="54"/>
      <c r="L11" s="54"/>
      <c r="M11" s="54"/>
      <c r="N11" s="54"/>
      <c r="O11" s="55">
        <v>2.085</v>
      </c>
    </row>
    <row r="12" spans="2:15" s="28" customFormat="1" ht="21.4" hidden="1" customHeight="1">
      <c r="B12" s="54" t="s">
        <v>61</v>
      </c>
      <c r="C12" s="54"/>
      <c r="D12" s="54"/>
      <c r="E12" s="54"/>
      <c r="F12" s="54"/>
      <c r="G12" s="54">
        <v>7.7590000000000003</v>
      </c>
      <c r="H12" s="54"/>
      <c r="I12" s="54"/>
      <c r="J12" s="54"/>
      <c r="K12" s="54"/>
      <c r="L12" s="54"/>
      <c r="M12" s="54"/>
      <c r="N12" s="54"/>
      <c r="O12" s="55">
        <v>7.7590000000000003</v>
      </c>
    </row>
    <row r="13" spans="2:15" s="28" customFormat="1" ht="21.4" hidden="1" customHeight="1">
      <c r="B13" s="54" t="s">
        <v>62</v>
      </c>
      <c r="C13" s="54"/>
      <c r="D13" s="54"/>
      <c r="E13" s="54"/>
      <c r="F13" s="54"/>
      <c r="G13" s="54">
        <v>23.568000000000001</v>
      </c>
      <c r="H13" s="54"/>
      <c r="I13" s="54"/>
      <c r="J13" s="54"/>
      <c r="K13" s="54"/>
      <c r="L13" s="54"/>
      <c r="M13" s="54"/>
      <c r="N13" s="54"/>
      <c r="O13" s="55">
        <v>23.568000000000001</v>
      </c>
    </row>
    <row r="14" spans="2:15" s="28" customFormat="1" ht="21.4" hidden="1" customHeight="1">
      <c r="B14" s="54" t="s">
        <v>123</v>
      </c>
      <c r="C14" s="54"/>
      <c r="D14" s="54"/>
      <c r="E14" s="54"/>
      <c r="F14" s="54"/>
      <c r="G14" s="54">
        <v>2.5999999999999999E-2</v>
      </c>
      <c r="H14" s="54"/>
      <c r="I14" s="54"/>
      <c r="J14" s="54"/>
      <c r="K14" s="54"/>
      <c r="L14" s="54"/>
      <c r="M14" s="54"/>
      <c r="N14" s="54"/>
      <c r="O14" s="55">
        <v>2.5999999999999999E-2</v>
      </c>
    </row>
    <row r="15" spans="2:15" s="28" customFormat="1" ht="21.4" hidden="1" customHeight="1">
      <c r="B15" s="54" t="s">
        <v>63</v>
      </c>
      <c r="C15" s="54"/>
      <c r="D15" s="54"/>
      <c r="E15" s="54">
        <v>0.159</v>
      </c>
      <c r="F15" s="54"/>
      <c r="G15" s="54">
        <v>17.175999999999998</v>
      </c>
      <c r="H15" s="54">
        <v>0.67600000000000005</v>
      </c>
      <c r="I15" s="54"/>
      <c r="J15" s="54"/>
      <c r="K15" s="54"/>
      <c r="L15" s="54"/>
      <c r="M15" s="54"/>
      <c r="N15" s="54">
        <v>5.3999999999999999E-2</v>
      </c>
      <c r="O15" s="55">
        <v>18.064999999999994</v>
      </c>
    </row>
    <row r="16" spans="2:15" s="28" customFormat="1" ht="21.4" hidden="1" customHeight="1">
      <c r="B16" s="54" t="s">
        <v>64</v>
      </c>
      <c r="C16" s="54"/>
      <c r="D16" s="54">
        <v>0</v>
      </c>
      <c r="E16" s="54">
        <v>0</v>
      </c>
      <c r="F16" s="54">
        <v>0</v>
      </c>
      <c r="G16" s="54">
        <v>16.390000000000011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55">
        <v>16.390000000000011</v>
      </c>
    </row>
    <row r="17" spans="2:15" s="28" customFormat="1" ht="21.4" hidden="1" customHeight="1">
      <c r="B17" s="54" t="s">
        <v>65</v>
      </c>
      <c r="C17" s="54">
        <v>0</v>
      </c>
      <c r="D17" s="54">
        <v>0</v>
      </c>
      <c r="E17" s="54">
        <v>0.159</v>
      </c>
      <c r="F17" s="54">
        <v>0</v>
      </c>
      <c r="G17" s="54">
        <v>33.56600000000001</v>
      </c>
      <c r="H17" s="54">
        <v>0.67600000000000005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5.3999999999999999E-2</v>
      </c>
      <c r="O17" s="55">
        <v>34.455000000000005</v>
      </c>
    </row>
    <row r="18" spans="2:15" s="28" customFormat="1" ht="21.4" hidden="1" customHeight="1">
      <c r="B18" s="54" t="s">
        <v>66</v>
      </c>
      <c r="C18" s="54"/>
      <c r="D18" s="54">
        <v>1.101</v>
      </c>
      <c r="E18" s="54">
        <v>1.2050000000000001</v>
      </c>
      <c r="F18" s="54"/>
      <c r="G18" s="54"/>
      <c r="H18" s="54">
        <v>1.6</v>
      </c>
      <c r="I18" s="54"/>
      <c r="J18" s="54"/>
      <c r="K18" s="54"/>
      <c r="L18" s="54"/>
      <c r="M18" s="54"/>
      <c r="N18" s="54">
        <v>0.995</v>
      </c>
      <c r="O18" s="55">
        <v>4.9009999999999998</v>
      </c>
    </row>
    <row r="19" spans="2:15" s="28" customFormat="1" ht="21.4" hidden="1" customHeight="1">
      <c r="B19" s="54" t="s">
        <v>67</v>
      </c>
      <c r="C19" s="54"/>
      <c r="D19" s="54"/>
      <c r="E19" s="54">
        <v>7.4009999999999998</v>
      </c>
      <c r="F19" s="54"/>
      <c r="G19" s="54">
        <v>0.77700000000000002</v>
      </c>
      <c r="H19" s="54">
        <v>2.8980000000000001</v>
      </c>
      <c r="I19" s="54">
        <v>0.46400000000000002</v>
      </c>
      <c r="J19" s="54"/>
      <c r="K19" s="54">
        <v>0.223</v>
      </c>
      <c r="L19" s="54">
        <v>0.54700000000000004</v>
      </c>
      <c r="M19" s="54"/>
      <c r="N19" s="54">
        <v>9.6489999999999991</v>
      </c>
      <c r="O19" s="55">
        <v>21.959</v>
      </c>
    </row>
    <row r="20" spans="2:15" s="28" customFormat="1" ht="21.4" hidden="1" customHeight="1">
      <c r="B20" s="54" t="s">
        <v>68</v>
      </c>
      <c r="C20" s="54"/>
      <c r="D20" s="54"/>
      <c r="E20" s="54">
        <v>4.6689999999999996</v>
      </c>
      <c r="F20" s="54"/>
      <c r="G20" s="54">
        <v>10.093</v>
      </c>
      <c r="H20" s="54">
        <v>22.827999999999999</v>
      </c>
      <c r="I20" s="54">
        <v>1.391</v>
      </c>
      <c r="J20" s="54"/>
      <c r="K20" s="54">
        <v>0.217</v>
      </c>
      <c r="L20" s="54">
        <v>7.181</v>
      </c>
      <c r="M20" s="54">
        <v>1.792</v>
      </c>
      <c r="N20" s="54">
        <v>7.3550000000000004</v>
      </c>
      <c r="O20" s="55">
        <v>55.525999999999996</v>
      </c>
    </row>
    <row r="21" spans="2:15" s="28" customFormat="1" ht="21.4" hidden="1" customHeight="1">
      <c r="B21" s="54" t="s">
        <v>69</v>
      </c>
      <c r="C21" s="54"/>
      <c r="D21" s="54"/>
      <c r="E21" s="54">
        <v>2.8220000000000001</v>
      </c>
      <c r="F21" s="54"/>
      <c r="G21" s="54">
        <v>9.5879999999999992</v>
      </c>
      <c r="H21" s="54">
        <v>8.0619999999999994</v>
      </c>
      <c r="I21" s="54">
        <v>13.862</v>
      </c>
      <c r="J21" s="54"/>
      <c r="K21" s="54">
        <v>1.68</v>
      </c>
      <c r="L21" s="54">
        <v>7.0940000000000003</v>
      </c>
      <c r="M21" s="54">
        <v>1.363</v>
      </c>
      <c r="N21" s="54">
        <v>1.25</v>
      </c>
      <c r="O21" s="55">
        <v>45.720999999999997</v>
      </c>
    </row>
    <row r="22" spans="2:15" s="28" customFormat="1" ht="21.4" hidden="1" customHeight="1">
      <c r="B22" s="54" t="s">
        <v>70</v>
      </c>
      <c r="C22" s="54"/>
      <c r="D22" s="54"/>
      <c r="E22" s="54"/>
      <c r="F22" s="54"/>
      <c r="G22" s="54">
        <v>24.001000000000001</v>
      </c>
      <c r="H22" s="54">
        <v>31.777000000000001</v>
      </c>
      <c r="I22" s="54">
        <v>20.686</v>
      </c>
      <c r="J22" s="54"/>
      <c r="K22" s="54">
        <v>4.3319999999999999</v>
      </c>
      <c r="L22" s="54">
        <v>12.882999999999999</v>
      </c>
      <c r="M22" s="54">
        <v>8.2710000000000008</v>
      </c>
      <c r="N22" s="54">
        <v>0.32700000000000001</v>
      </c>
      <c r="O22" s="55">
        <v>102.277</v>
      </c>
    </row>
    <row r="23" spans="2:15" s="28" customFormat="1" ht="21.4" hidden="1" customHeight="1">
      <c r="B23" s="54" t="s">
        <v>71</v>
      </c>
      <c r="C23" s="54"/>
      <c r="D23" s="54"/>
      <c r="E23" s="54">
        <v>68.405000000000001</v>
      </c>
      <c r="F23" s="54"/>
      <c r="G23" s="54">
        <v>12.87</v>
      </c>
      <c r="H23" s="54"/>
      <c r="I23" s="54"/>
      <c r="J23" s="54"/>
      <c r="K23" s="54">
        <v>83.028000000000006</v>
      </c>
      <c r="L23" s="54">
        <v>11.82</v>
      </c>
      <c r="M23" s="54"/>
      <c r="N23" s="54">
        <v>2.754</v>
      </c>
      <c r="O23" s="55">
        <v>178.87699999999998</v>
      </c>
    </row>
    <row r="24" spans="2:15" s="28" customFormat="1" ht="21.4" hidden="1" customHeight="1">
      <c r="B24" s="54" t="s">
        <v>72</v>
      </c>
      <c r="C24" s="54"/>
      <c r="D24" s="54"/>
      <c r="E24" s="54">
        <v>5.5110000000000001</v>
      </c>
      <c r="F24" s="54"/>
      <c r="G24" s="54"/>
      <c r="H24" s="54"/>
      <c r="I24" s="54"/>
      <c r="J24" s="54"/>
      <c r="K24" s="54">
        <v>2E-3</v>
      </c>
      <c r="L24" s="54">
        <v>1.077</v>
      </c>
      <c r="M24" s="54"/>
      <c r="N24" s="54"/>
      <c r="O24" s="55">
        <v>6.59</v>
      </c>
    </row>
    <row r="25" spans="2:15" s="28" customFormat="1" ht="21.4" hidden="1" customHeight="1">
      <c r="B25" s="54" t="s">
        <v>124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>
        <v>0</v>
      </c>
    </row>
    <row r="26" spans="2:15" s="28" customFormat="1" ht="21.4" hidden="1" customHeight="1">
      <c r="B26" s="54" t="s">
        <v>73</v>
      </c>
      <c r="C26" s="54">
        <v>7.9000000000000001E-2</v>
      </c>
      <c r="D26" s="54"/>
      <c r="E26" s="54"/>
      <c r="F26" s="54">
        <v>1.7000000000000001E-2</v>
      </c>
      <c r="G26" s="54"/>
      <c r="H26" s="54"/>
      <c r="I26" s="54"/>
      <c r="J26" s="54">
        <v>6.5410000000000004</v>
      </c>
      <c r="K26" s="54"/>
      <c r="L26" s="54">
        <v>2E-3</v>
      </c>
      <c r="M26" s="54"/>
      <c r="N26" s="54">
        <v>0.13700000000000001</v>
      </c>
      <c r="O26" s="55">
        <v>6.7759999999999998</v>
      </c>
    </row>
    <row r="27" spans="2:15" s="28" customFormat="1" ht="21.4" hidden="1" customHeight="1">
      <c r="B27" s="54" t="s">
        <v>125</v>
      </c>
      <c r="C27" s="54">
        <v>7.9000000000000001E-2</v>
      </c>
      <c r="D27" s="54">
        <v>1.101</v>
      </c>
      <c r="E27" s="54">
        <v>90.012999999999991</v>
      </c>
      <c r="F27" s="54">
        <v>1.7000000000000001E-2</v>
      </c>
      <c r="G27" s="54">
        <v>57.329000000000001</v>
      </c>
      <c r="H27" s="54">
        <v>67.164999999999992</v>
      </c>
      <c r="I27" s="54">
        <v>36.402999999999999</v>
      </c>
      <c r="J27" s="54">
        <v>6.5410000000000004</v>
      </c>
      <c r="K27" s="54">
        <v>89.481999999999999</v>
      </c>
      <c r="L27" s="54">
        <v>40.603999999999999</v>
      </c>
      <c r="M27" s="54">
        <v>11.426000000000002</v>
      </c>
      <c r="N27" s="54">
        <v>22.467000000000002</v>
      </c>
      <c r="O27" s="55">
        <v>422.62699999999995</v>
      </c>
    </row>
    <row r="28" spans="2:15" s="28" customFormat="1" ht="21.4" hidden="1" customHeight="1">
      <c r="B28" s="54" t="s">
        <v>149</v>
      </c>
      <c r="C28" s="54">
        <v>7.9000000000000001E-2</v>
      </c>
      <c r="D28" s="54">
        <v>1.101</v>
      </c>
      <c r="E28" s="54">
        <v>90.171999999999997</v>
      </c>
      <c r="F28" s="54">
        <v>1.7000000000000001E-2</v>
      </c>
      <c r="G28" s="54">
        <v>90.89500000000001</v>
      </c>
      <c r="H28" s="54">
        <v>67.840999999999994</v>
      </c>
      <c r="I28" s="54">
        <v>36.402999999999999</v>
      </c>
      <c r="J28" s="54">
        <v>6.5410000000000004</v>
      </c>
      <c r="K28" s="54">
        <v>89.481999999999999</v>
      </c>
      <c r="L28" s="54">
        <v>40.603999999999999</v>
      </c>
      <c r="M28" s="54">
        <v>11.426000000000002</v>
      </c>
      <c r="N28" s="54">
        <v>22.521000000000001</v>
      </c>
      <c r="O28" s="56">
        <v>457.08199999999994</v>
      </c>
    </row>
    <row r="29" spans="2:15" s="28" customFormat="1" ht="21.4" hidden="1" customHeight="1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</row>
    <row r="30" spans="2:15" s="28" customFormat="1" ht="21.4" hidden="1" customHeight="1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8"/>
    </row>
    <row r="31" spans="2:15" s="28" customFormat="1" ht="21.4" hidden="1" customHeight="1">
      <c r="B31" s="59" t="s">
        <v>211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/>
    </row>
    <row r="32" spans="2:15" s="28" customFormat="1" ht="21.4" hidden="1" customHeight="1">
      <c r="B32" s="62" t="s">
        <v>56</v>
      </c>
      <c r="C32" s="63"/>
      <c r="D32" s="63"/>
      <c r="E32" s="63"/>
      <c r="F32" s="63"/>
      <c r="G32" s="63">
        <v>4.2000000000000003E-2</v>
      </c>
      <c r="H32" s="63"/>
      <c r="I32" s="63"/>
      <c r="J32" s="63"/>
      <c r="K32" s="63"/>
      <c r="L32" s="63"/>
      <c r="M32" s="63"/>
      <c r="N32" s="63">
        <v>3.3000000000000002E-2</v>
      </c>
      <c r="O32" s="64">
        <v>7.5000000000000011E-2</v>
      </c>
    </row>
    <row r="33" spans="2:15" s="28" customFormat="1" ht="21.4" hidden="1" customHeight="1">
      <c r="B33" s="62" t="s">
        <v>57</v>
      </c>
      <c r="C33" s="63"/>
      <c r="D33" s="63"/>
      <c r="E33" s="63"/>
      <c r="F33" s="63"/>
      <c r="G33" s="63">
        <v>0.96</v>
      </c>
      <c r="H33" s="63"/>
      <c r="I33" s="63"/>
      <c r="J33" s="63"/>
      <c r="K33" s="63"/>
      <c r="L33" s="63"/>
      <c r="M33" s="63"/>
      <c r="N33" s="63"/>
      <c r="O33" s="64">
        <v>0.96</v>
      </c>
    </row>
    <row r="34" spans="2:15" s="28" customFormat="1" ht="21.4" hidden="1" customHeight="1">
      <c r="B34" s="62" t="s">
        <v>116</v>
      </c>
      <c r="C34" s="63"/>
      <c r="D34" s="63"/>
      <c r="E34" s="63">
        <v>0.14599999999999999</v>
      </c>
      <c r="F34" s="63"/>
      <c r="G34" s="63"/>
      <c r="H34" s="63"/>
      <c r="I34" s="63"/>
      <c r="J34" s="63"/>
      <c r="K34" s="63"/>
      <c r="L34" s="63"/>
      <c r="M34" s="63"/>
      <c r="N34" s="63">
        <v>2.3E-2</v>
      </c>
      <c r="O34" s="64">
        <v>0.16899999999999998</v>
      </c>
    </row>
    <row r="35" spans="2:15" s="28" customFormat="1" ht="21.4" hidden="1" customHeight="1">
      <c r="B35" s="62" t="s">
        <v>59</v>
      </c>
      <c r="C35" s="63"/>
      <c r="D35" s="63"/>
      <c r="E35" s="63"/>
      <c r="F35" s="63"/>
      <c r="G35" s="63">
        <v>0.318</v>
      </c>
      <c r="H35" s="63"/>
      <c r="I35" s="63"/>
      <c r="J35" s="63"/>
      <c r="K35" s="63"/>
      <c r="L35" s="63"/>
      <c r="M35" s="63"/>
      <c r="N35" s="63"/>
      <c r="O35" s="64">
        <v>0.318</v>
      </c>
    </row>
    <row r="36" spans="2:15" s="28" customFormat="1" ht="21.4" hidden="1" customHeight="1">
      <c r="B36" s="62" t="s">
        <v>60</v>
      </c>
      <c r="C36" s="63"/>
      <c r="D36" s="63"/>
      <c r="E36" s="63"/>
      <c r="F36" s="63"/>
      <c r="G36" s="63">
        <v>0.98699999999999999</v>
      </c>
      <c r="H36" s="63">
        <v>0.73</v>
      </c>
      <c r="I36" s="63"/>
      <c r="J36" s="63"/>
      <c r="K36" s="63"/>
      <c r="L36" s="63"/>
      <c r="M36" s="63"/>
      <c r="N36" s="63"/>
      <c r="O36" s="64">
        <v>1.7170000000000001</v>
      </c>
    </row>
    <row r="37" spans="2:15" s="28" customFormat="1" ht="21.4" hidden="1" customHeight="1">
      <c r="B37" s="62" t="s">
        <v>61</v>
      </c>
      <c r="C37" s="63"/>
      <c r="D37" s="63"/>
      <c r="E37" s="63"/>
      <c r="F37" s="63"/>
      <c r="G37" s="63">
        <v>8.09</v>
      </c>
      <c r="H37" s="63"/>
      <c r="I37" s="63"/>
      <c r="J37" s="63"/>
      <c r="K37" s="63"/>
      <c r="L37" s="63"/>
      <c r="M37" s="63"/>
      <c r="N37" s="63"/>
      <c r="O37" s="64">
        <v>8.09</v>
      </c>
    </row>
    <row r="38" spans="2:15" s="28" customFormat="1" ht="21.4" hidden="1" customHeight="1">
      <c r="B38" s="62" t="s">
        <v>62</v>
      </c>
      <c r="C38" s="63"/>
      <c r="D38" s="63"/>
      <c r="E38" s="63"/>
      <c r="F38" s="63"/>
      <c r="G38" s="63">
        <v>23.472000000000001</v>
      </c>
      <c r="H38" s="63"/>
      <c r="I38" s="63"/>
      <c r="J38" s="63"/>
      <c r="K38" s="63"/>
      <c r="L38" s="63"/>
      <c r="M38" s="63"/>
      <c r="N38" s="63"/>
      <c r="O38" s="64">
        <v>23.472000000000001</v>
      </c>
    </row>
    <row r="39" spans="2:15" s="28" customFormat="1" ht="21.4" hidden="1" customHeight="1">
      <c r="B39" s="62" t="s">
        <v>123</v>
      </c>
      <c r="C39" s="63"/>
      <c r="D39" s="63"/>
      <c r="E39" s="63"/>
      <c r="F39" s="63"/>
      <c r="G39" s="63">
        <v>8.0000000000000002E-3</v>
      </c>
      <c r="H39" s="63"/>
      <c r="I39" s="63"/>
      <c r="J39" s="63"/>
      <c r="K39" s="63"/>
      <c r="L39" s="63"/>
      <c r="M39" s="63"/>
      <c r="N39" s="63"/>
      <c r="O39" s="64">
        <v>8.0000000000000002E-3</v>
      </c>
    </row>
    <row r="40" spans="2:15" s="28" customFormat="1" ht="21.4" hidden="1" customHeight="1">
      <c r="B40" s="62" t="s">
        <v>63</v>
      </c>
      <c r="C40" s="63"/>
      <c r="D40" s="63"/>
      <c r="E40" s="63">
        <v>0.14599999999999999</v>
      </c>
      <c r="F40" s="63"/>
      <c r="G40" s="63">
        <v>16.369</v>
      </c>
      <c r="H40" s="63">
        <v>0.73</v>
      </c>
      <c r="I40" s="63"/>
      <c r="J40" s="63"/>
      <c r="K40" s="63"/>
      <c r="L40" s="63"/>
      <c r="M40" s="63"/>
      <c r="N40" s="63">
        <v>5.6000000000000001E-2</v>
      </c>
      <c r="O40" s="64">
        <v>17.301000000000002</v>
      </c>
    </row>
    <row r="41" spans="2:15" s="28" customFormat="1" ht="21.4" hidden="1" customHeight="1">
      <c r="B41" s="62" t="s">
        <v>64</v>
      </c>
      <c r="C41" s="63">
        <v>0</v>
      </c>
      <c r="D41" s="63">
        <v>0</v>
      </c>
      <c r="E41" s="63">
        <v>0</v>
      </c>
      <c r="F41" s="63">
        <v>0</v>
      </c>
      <c r="G41" s="63">
        <v>17.508000000000003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4">
        <v>17.508000000000003</v>
      </c>
    </row>
    <row r="42" spans="2:15" s="28" customFormat="1" ht="21.4" hidden="1" customHeight="1">
      <c r="B42" s="65" t="s">
        <v>65</v>
      </c>
      <c r="C42" s="67">
        <v>0</v>
      </c>
      <c r="D42" s="67">
        <v>0</v>
      </c>
      <c r="E42" s="67">
        <v>0.14599999999999999</v>
      </c>
      <c r="F42" s="67">
        <v>0</v>
      </c>
      <c r="G42" s="67">
        <v>33.877000000000002</v>
      </c>
      <c r="H42" s="67">
        <v>0.73</v>
      </c>
      <c r="I42" s="67">
        <v>0</v>
      </c>
      <c r="J42" s="67">
        <v>0</v>
      </c>
      <c r="K42" s="67">
        <v>0</v>
      </c>
      <c r="L42" s="66">
        <v>0</v>
      </c>
      <c r="M42" s="67">
        <v>0</v>
      </c>
      <c r="N42" s="67">
        <v>5.6000000000000001E-2</v>
      </c>
      <c r="O42" s="68">
        <v>34.809000000000005</v>
      </c>
    </row>
    <row r="43" spans="2:15" s="28" customFormat="1" ht="21.4" hidden="1" customHeight="1">
      <c r="B43" s="62" t="s">
        <v>66</v>
      </c>
      <c r="C43" s="63">
        <v>0.14199999999999999</v>
      </c>
      <c r="D43" s="63">
        <v>1.0089999999999999</v>
      </c>
      <c r="E43" s="63">
        <v>1.1120000000000001</v>
      </c>
      <c r="F43" s="63"/>
      <c r="G43" s="63"/>
      <c r="H43" s="63">
        <v>1.4930000000000001</v>
      </c>
      <c r="I43" s="63"/>
      <c r="J43" s="63">
        <v>5.4889999999999999</v>
      </c>
      <c r="K43" s="63"/>
      <c r="L43" s="63"/>
      <c r="M43" s="63"/>
      <c r="N43" s="63">
        <v>0.93400000000000005</v>
      </c>
      <c r="O43" s="64">
        <v>10.179</v>
      </c>
    </row>
    <row r="44" spans="2:15" s="28" customFormat="1" ht="21.4" hidden="1" customHeight="1">
      <c r="B44" s="62" t="s">
        <v>67</v>
      </c>
      <c r="C44" s="63"/>
      <c r="D44" s="63"/>
      <c r="E44" s="63">
        <v>7.5179999999999998</v>
      </c>
      <c r="F44" s="63"/>
      <c r="G44" s="63">
        <v>0.83699999999999997</v>
      </c>
      <c r="H44" s="63">
        <v>3.3809999999999998</v>
      </c>
      <c r="I44" s="63">
        <v>0.40300000000000002</v>
      </c>
      <c r="J44" s="63"/>
      <c r="K44" s="63">
        <v>0.23200000000000001</v>
      </c>
      <c r="L44" s="63">
        <v>0.752</v>
      </c>
      <c r="M44" s="63"/>
      <c r="N44" s="63">
        <v>11.731</v>
      </c>
      <c r="O44" s="64">
        <v>24.853999999999999</v>
      </c>
    </row>
    <row r="45" spans="2:15" s="28" customFormat="1" ht="21.4" hidden="1" customHeight="1">
      <c r="B45" s="62" t="s">
        <v>68</v>
      </c>
      <c r="C45" s="63"/>
      <c r="D45" s="63"/>
      <c r="E45" s="63">
        <v>4.5330000000000004</v>
      </c>
      <c r="F45" s="63"/>
      <c r="G45" s="63">
        <v>9.3030000000000008</v>
      </c>
      <c r="H45" s="63">
        <v>22.201000000000001</v>
      </c>
      <c r="I45" s="63">
        <v>1.54</v>
      </c>
      <c r="J45" s="63"/>
      <c r="K45" s="63">
        <v>0.23300000000000001</v>
      </c>
      <c r="L45" s="63">
        <v>7.0529999999999999</v>
      </c>
      <c r="M45" s="63">
        <v>0.45300000000000001</v>
      </c>
      <c r="N45" s="63">
        <v>5.742</v>
      </c>
      <c r="O45" s="64">
        <v>51.058</v>
      </c>
    </row>
    <row r="46" spans="2:15" s="28" customFormat="1" ht="21.4" hidden="1" customHeight="1">
      <c r="B46" s="62" t="s">
        <v>69</v>
      </c>
      <c r="C46" s="63"/>
      <c r="D46" s="63"/>
      <c r="E46" s="63">
        <v>2.8490000000000002</v>
      </c>
      <c r="F46" s="63"/>
      <c r="G46" s="63">
        <v>9.9220000000000006</v>
      </c>
      <c r="H46" s="63">
        <v>8.1430000000000007</v>
      </c>
      <c r="I46" s="63">
        <v>13.222</v>
      </c>
      <c r="J46" s="63"/>
      <c r="K46" s="63">
        <v>1.6850000000000001</v>
      </c>
      <c r="L46" s="63">
        <v>8.0129999999999999</v>
      </c>
      <c r="M46" s="63">
        <v>3.2130000000000001</v>
      </c>
      <c r="N46" s="63">
        <v>0.95899999999999996</v>
      </c>
      <c r="O46" s="64">
        <v>48.006000000000007</v>
      </c>
    </row>
    <row r="47" spans="2:15" s="28" customFormat="1" ht="21.4" hidden="1" customHeight="1">
      <c r="B47" s="62" t="s">
        <v>70</v>
      </c>
      <c r="C47" s="63"/>
      <c r="D47" s="63"/>
      <c r="E47" s="63"/>
      <c r="F47" s="63"/>
      <c r="G47" s="63">
        <v>25.585999999999999</v>
      </c>
      <c r="H47" s="63">
        <v>35.377000000000002</v>
      </c>
      <c r="I47" s="63">
        <v>23.54</v>
      </c>
      <c r="J47" s="63"/>
      <c r="K47" s="63">
        <v>5.431</v>
      </c>
      <c r="L47" s="63">
        <v>14.326000000000001</v>
      </c>
      <c r="M47" s="63">
        <v>8.3629999999999995</v>
      </c>
      <c r="N47" s="63">
        <v>0.37</v>
      </c>
      <c r="O47" s="64">
        <v>112.99300000000001</v>
      </c>
    </row>
    <row r="48" spans="2:15" s="28" customFormat="1" ht="21.4" hidden="1" customHeight="1">
      <c r="B48" s="62" t="s">
        <v>71</v>
      </c>
      <c r="C48" s="63"/>
      <c r="D48" s="63"/>
      <c r="E48" s="63">
        <v>77.811999999999998</v>
      </c>
      <c r="F48" s="63"/>
      <c r="G48" s="63">
        <v>16.437999999999999</v>
      </c>
      <c r="H48" s="63"/>
      <c r="I48" s="63"/>
      <c r="J48" s="63"/>
      <c r="K48" s="63">
        <v>90.820999999999998</v>
      </c>
      <c r="L48" s="63">
        <v>13.231</v>
      </c>
      <c r="M48" s="63"/>
      <c r="N48" s="63">
        <v>2.984</v>
      </c>
      <c r="O48" s="64">
        <v>201.286</v>
      </c>
    </row>
    <row r="49" spans="2:15" s="28" customFormat="1" ht="21.4" hidden="1" customHeight="1">
      <c r="B49" s="62" t="s">
        <v>72</v>
      </c>
      <c r="C49" s="63"/>
      <c r="D49" s="63"/>
      <c r="E49" s="63">
        <v>7.952</v>
      </c>
      <c r="F49" s="63"/>
      <c r="G49" s="63">
        <v>0.309</v>
      </c>
      <c r="H49" s="63"/>
      <c r="I49" s="63"/>
      <c r="J49" s="63"/>
      <c r="K49" s="63"/>
      <c r="L49" s="63">
        <v>1.071</v>
      </c>
      <c r="M49" s="63"/>
      <c r="N49" s="63"/>
      <c r="O49" s="64">
        <v>9.331999999999999</v>
      </c>
    </row>
    <row r="50" spans="2:15" s="28" customFormat="1" ht="21.4" hidden="1" customHeight="1">
      <c r="B50" s="62" t="s">
        <v>124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>
        <v>0</v>
      </c>
    </row>
    <row r="51" spans="2:15" s="28" customFormat="1" ht="21.4" hidden="1" customHeight="1">
      <c r="B51" s="62" t="s">
        <v>73</v>
      </c>
      <c r="C51" s="63"/>
      <c r="D51" s="69"/>
      <c r="E51" s="63"/>
      <c r="F51" s="63">
        <v>1.0999999999999999E-2</v>
      </c>
      <c r="G51" s="63"/>
      <c r="H51" s="63"/>
      <c r="I51" s="63"/>
      <c r="J51" s="63"/>
      <c r="K51" s="63"/>
      <c r="L51" s="63">
        <v>0.1</v>
      </c>
      <c r="M51" s="63"/>
      <c r="N51" s="63">
        <v>0.129</v>
      </c>
      <c r="O51" s="64">
        <v>0.24</v>
      </c>
    </row>
    <row r="52" spans="2:15" s="28" customFormat="1" hidden="1">
      <c r="B52" s="65" t="s">
        <v>125</v>
      </c>
      <c r="C52" s="70">
        <v>0.14199999999999999</v>
      </c>
      <c r="D52" s="70">
        <v>1.0089999999999999</v>
      </c>
      <c r="E52" s="70">
        <v>101.776</v>
      </c>
      <c r="F52" s="70">
        <v>1.0999999999999999E-2</v>
      </c>
      <c r="G52" s="70">
        <v>62.394999999999996</v>
      </c>
      <c r="H52" s="70">
        <v>70.594999999999999</v>
      </c>
      <c r="I52" s="70">
        <v>38.704999999999998</v>
      </c>
      <c r="J52" s="70">
        <v>5.4889999999999999</v>
      </c>
      <c r="K52" s="70">
        <v>98.402000000000001</v>
      </c>
      <c r="L52" s="66">
        <v>44.545999999999999</v>
      </c>
      <c r="M52" s="70">
        <v>12.029</v>
      </c>
      <c r="N52" s="70">
        <v>22.849</v>
      </c>
      <c r="O52" s="71">
        <v>457.94800000000004</v>
      </c>
    </row>
    <row r="53" spans="2:15" s="28" customFormat="1" hidden="1">
      <c r="B53" s="65" t="s">
        <v>149</v>
      </c>
      <c r="C53" s="67">
        <v>0.14199999999999999</v>
      </c>
      <c r="D53" s="67">
        <v>1.0089999999999999</v>
      </c>
      <c r="E53" s="67">
        <v>101.922</v>
      </c>
      <c r="F53" s="67">
        <v>1.0999999999999999E-2</v>
      </c>
      <c r="G53" s="67">
        <v>96.271999999999991</v>
      </c>
      <c r="H53" s="67">
        <v>71.325000000000003</v>
      </c>
      <c r="I53" s="67">
        <v>38.704999999999998</v>
      </c>
      <c r="J53" s="67">
        <v>5.4889999999999999</v>
      </c>
      <c r="K53" s="67">
        <v>98.402000000000001</v>
      </c>
      <c r="L53" s="66">
        <v>44.545999999999999</v>
      </c>
      <c r="M53" s="67">
        <v>12.029</v>
      </c>
      <c r="N53" s="67">
        <v>22.905000000000001</v>
      </c>
      <c r="O53" s="68">
        <v>492.75700000000006</v>
      </c>
    </row>
    <row r="54" spans="2:15" s="28" customFormat="1" ht="5.25" hidden="1" customHeight="1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8"/>
    </row>
    <row r="55" spans="2:15" s="28" customFormat="1" ht="15.75" hidden="1" customHeight="1">
      <c r="B55" s="72" t="s">
        <v>224</v>
      </c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3"/>
    </row>
    <row r="56" spans="2:15" s="23" customFormat="1" ht="22.9" hidden="1" customHeight="1">
      <c r="B56" s="74" t="s">
        <v>56</v>
      </c>
      <c r="C56" s="75"/>
      <c r="D56" s="75"/>
      <c r="E56" s="75"/>
      <c r="F56" s="75"/>
      <c r="G56" s="75">
        <v>0.23400000000000001</v>
      </c>
      <c r="H56" s="75"/>
      <c r="I56" s="75"/>
      <c r="J56" s="75"/>
      <c r="K56" s="75"/>
      <c r="L56" s="75"/>
      <c r="M56" s="75"/>
      <c r="N56" s="75">
        <v>2.9000000000000001E-2</v>
      </c>
      <c r="O56" s="76">
        <f t="shared" ref="O56:O65" si="0">SUM(C56:N56)</f>
        <v>0.26300000000000001</v>
      </c>
    </row>
    <row r="57" spans="2:15" s="23" customFormat="1" ht="22.9" hidden="1" customHeight="1">
      <c r="B57" s="77" t="s">
        <v>57</v>
      </c>
      <c r="C57" s="78"/>
      <c r="D57" s="78"/>
      <c r="E57" s="78"/>
      <c r="F57" s="78"/>
      <c r="G57" s="78">
        <v>1.5580000000000001</v>
      </c>
      <c r="H57" s="78"/>
      <c r="I57" s="78"/>
      <c r="J57" s="78"/>
      <c r="K57" s="78"/>
      <c r="L57" s="78"/>
      <c r="M57" s="78"/>
      <c r="N57" s="78"/>
      <c r="O57" s="79">
        <f t="shared" si="0"/>
        <v>1.5580000000000001</v>
      </c>
    </row>
    <row r="58" spans="2:15" s="23" customFormat="1" ht="22.9" hidden="1" customHeight="1">
      <c r="B58" s="77" t="s">
        <v>221</v>
      </c>
      <c r="C58" s="78"/>
      <c r="D58" s="78"/>
      <c r="E58" s="78">
        <v>0.16300000000000001</v>
      </c>
      <c r="F58" s="78"/>
      <c r="G58" s="78"/>
      <c r="H58" s="78"/>
      <c r="I58" s="78"/>
      <c r="J58" s="78"/>
      <c r="K58" s="78"/>
      <c r="L58" s="78"/>
      <c r="M58" s="78"/>
      <c r="N58" s="78">
        <v>7.0000000000000001E-3</v>
      </c>
      <c r="O58" s="79">
        <f t="shared" si="0"/>
        <v>0.17</v>
      </c>
    </row>
    <row r="59" spans="2:15" s="23" customFormat="1" ht="22.9" hidden="1" customHeight="1">
      <c r="B59" s="77" t="s">
        <v>59</v>
      </c>
      <c r="C59" s="78"/>
      <c r="D59" s="78"/>
      <c r="E59" s="78"/>
      <c r="F59" s="78"/>
      <c r="G59" s="78">
        <v>0.23499999999999999</v>
      </c>
      <c r="H59" s="78"/>
      <c r="I59" s="78"/>
      <c r="J59" s="78"/>
      <c r="K59" s="78"/>
      <c r="L59" s="78"/>
      <c r="M59" s="78"/>
      <c r="N59" s="78"/>
      <c r="O59" s="79">
        <f t="shared" si="0"/>
        <v>0.23499999999999999</v>
      </c>
    </row>
    <row r="60" spans="2:15" s="23" customFormat="1" ht="22.9" hidden="1" customHeight="1">
      <c r="B60" s="77" t="s">
        <v>60</v>
      </c>
      <c r="C60" s="78"/>
      <c r="D60" s="78"/>
      <c r="E60" s="78"/>
      <c r="F60" s="78"/>
      <c r="G60" s="78">
        <v>1.3540000000000001</v>
      </c>
      <c r="H60" s="78">
        <v>0.40300000000000002</v>
      </c>
      <c r="I60" s="78"/>
      <c r="J60" s="78"/>
      <c r="K60" s="78"/>
      <c r="L60" s="78"/>
      <c r="M60" s="78"/>
      <c r="N60" s="78"/>
      <c r="O60" s="79">
        <f t="shared" si="0"/>
        <v>1.7570000000000001</v>
      </c>
    </row>
    <row r="61" spans="2:15" s="23" customFormat="1" ht="22.9" hidden="1" customHeight="1">
      <c r="B61" s="77" t="s">
        <v>61</v>
      </c>
      <c r="C61" s="78"/>
      <c r="D61" s="78"/>
      <c r="E61" s="78"/>
      <c r="F61" s="78"/>
      <c r="G61" s="78">
        <v>10.164999999999999</v>
      </c>
      <c r="H61" s="78"/>
      <c r="I61" s="78"/>
      <c r="J61" s="78"/>
      <c r="K61" s="78"/>
      <c r="L61" s="78"/>
      <c r="M61" s="78"/>
      <c r="N61" s="78"/>
      <c r="O61" s="79">
        <f t="shared" si="0"/>
        <v>10.164999999999999</v>
      </c>
    </row>
    <row r="62" spans="2:15" s="23" customFormat="1" ht="22.9" hidden="1" customHeight="1">
      <c r="B62" s="77" t="s">
        <v>62</v>
      </c>
      <c r="C62" s="78"/>
      <c r="D62" s="78"/>
      <c r="E62" s="78"/>
      <c r="F62" s="78"/>
      <c r="G62" s="78">
        <v>35.399000000000001</v>
      </c>
      <c r="H62" s="78"/>
      <c r="I62" s="78"/>
      <c r="J62" s="78"/>
      <c r="K62" s="78"/>
      <c r="L62" s="78"/>
      <c r="M62" s="78"/>
      <c r="N62" s="78"/>
      <c r="O62" s="79">
        <f t="shared" si="0"/>
        <v>35.399000000000001</v>
      </c>
    </row>
    <row r="63" spans="2:15" s="23" customFormat="1" ht="22.9" hidden="1" customHeight="1">
      <c r="B63" s="77" t="s">
        <v>123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9">
        <f t="shared" si="0"/>
        <v>0</v>
      </c>
    </row>
    <row r="64" spans="2:15" s="23" customFormat="1" ht="22.9" hidden="1" customHeight="1">
      <c r="B64" s="80" t="s">
        <v>63</v>
      </c>
      <c r="C64" s="81"/>
      <c r="D64" s="81"/>
      <c r="E64" s="81"/>
      <c r="F64" s="81"/>
      <c r="G64" s="81">
        <v>17.256</v>
      </c>
      <c r="H64" s="81">
        <v>0.40300000000000002</v>
      </c>
      <c r="I64" s="81"/>
      <c r="J64" s="81"/>
      <c r="K64" s="81"/>
      <c r="L64" s="81"/>
      <c r="M64" s="81"/>
      <c r="N64" s="81">
        <f>(7+29)/1000</f>
        <v>3.5999999999999997E-2</v>
      </c>
      <c r="O64" s="76">
        <f t="shared" si="0"/>
        <v>17.695</v>
      </c>
    </row>
    <row r="65" spans="2:15" s="23" customFormat="1" ht="22.9" hidden="1" customHeight="1">
      <c r="B65" s="82" t="s">
        <v>64</v>
      </c>
      <c r="C65" s="83">
        <f>C66-C64</f>
        <v>0</v>
      </c>
      <c r="D65" s="83">
        <f t="shared" ref="D65:N65" si="1">D66-D64</f>
        <v>0</v>
      </c>
      <c r="E65" s="83">
        <f>E66-E64</f>
        <v>0.16300000000000001</v>
      </c>
      <c r="F65" s="83">
        <f t="shared" si="1"/>
        <v>0</v>
      </c>
      <c r="G65" s="83">
        <f t="shared" si="1"/>
        <v>31.689</v>
      </c>
      <c r="H65" s="83">
        <f t="shared" si="1"/>
        <v>0</v>
      </c>
      <c r="I65" s="83">
        <f t="shared" si="1"/>
        <v>0</v>
      </c>
      <c r="J65" s="83">
        <f t="shared" si="1"/>
        <v>0</v>
      </c>
      <c r="K65" s="83">
        <f t="shared" si="1"/>
        <v>0</v>
      </c>
      <c r="L65" s="83">
        <f>L66-L64</f>
        <v>0</v>
      </c>
      <c r="M65" s="83">
        <f t="shared" si="1"/>
        <v>0</v>
      </c>
      <c r="N65" s="83">
        <f t="shared" si="1"/>
        <v>0</v>
      </c>
      <c r="O65" s="79">
        <f t="shared" si="0"/>
        <v>31.852</v>
      </c>
    </row>
    <row r="66" spans="2:15" s="30" customFormat="1" ht="22.9" hidden="1" customHeight="1">
      <c r="B66" s="84" t="s">
        <v>65</v>
      </c>
      <c r="C66" s="86">
        <v>0</v>
      </c>
      <c r="D66" s="86">
        <f>SUM(D56:D63)</f>
        <v>0</v>
      </c>
      <c r="E66" s="86">
        <f t="shared" ref="E66:N66" si="2">SUM(E56:E63)</f>
        <v>0.16300000000000001</v>
      </c>
      <c r="F66" s="86">
        <f t="shared" si="2"/>
        <v>0</v>
      </c>
      <c r="G66" s="86">
        <f t="shared" si="2"/>
        <v>48.945</v>
      </c>
      <c r="H66" s="86">
        <f t="shared" si="2"/>
        <v>0.40300000000000002</v>
      </c>
      <c r="I66" s="86">
        <f t="shared" si="2"/>
        <v>0</v>
      </c>
      <c r="J66" s="86">
        <f t="shared" si="2"/>
        <v>0</v>
      </c>
      <c r="K66" s="86">
        <f t="shared" si="2"/>
        <v>0</v>
      </c>
      <c r="L66" s="85">
        <f>SUM(L56:L63)</f>
        <v>0</v>
      </c>
      <c r="M66" s="86">
        <f t="shared" si="2"/>
        <v>0</v>
      </c>
      <c r="N66" s="86">
        <f t="shared" si="2"/>
        <v>3.6000000000000004E-2</v>
      </c>
      <c r="O66" s="87">
        <f>SUM(O56:O63)</f>
        <v>49.546999999999997</v>
      </c>
    </row>
    <row r="67" spans="2:15" s="23" customFormat="1" ht="22.9" hidden="1" customHeight="1">
      <c r="B67" s="77" t="s">
        <v>66</v>
      </c>
      <c r="C67" s="78">
        <v>0.29899999999999999</v>
      </c>
      <c r="D67" s="78">
        <v>1.101</v>
      </c>
      <c r="E67" s="78">
        <v>1.244</v>
      </c>
      <c r="F67" s="78"/>
      <c r="G67" s="78">
        <v>0.28899999999999998</v>
      </c>
      <c r="H67" s="78">
        <v>1.5029999999999999</v>
      </c>
      <c r="I67" s="78"/>
      <c r="J67" s="78">
        <v>6.9740000000000002</v>
      </c>
      <c r="K67" s="78"/>
      <c r="L67" s="78">
        <v>5.0999999999999997E-2</v>
      </c>
      <c r="M67" s="78"/>
      <c r="N67" s="78">
        <v>0.72099999999999997</v>
      </c>
      <c r="O67" s="79">
        <f t="shared" ref="O67:O75" si="3">SUM(C67:N67)</f>
        <v>12.182</v>
      </c>
    </row>
    <row r="68" spans="2:15" s="23" customFormat="1" ht="22.9" hidden="1" customHeight="1">
      <c r="B68" s="77" t="s">
        <v>67</v>
      </c>
      <c r="C68" s="78"/>
      <c r="D68" s="78"/>
      <c r="E68" s="78">
        <v>8.1489999999999991</v>
      </c>
      <c r="F68" s="78"/>
      <c r="G68" s="78">
        <v>0.49299999999999999</v>
      </c>
      <c r="H68" s="78">
        <v>2.8069999999999999</v>
      </c>
      <c r="I68" s="78">
        <v>0.34</v>
      </c>
      <c r="J68" s="78"/>
      <c r="K68" s="78">
        <v>0.21</v>
      </c>
      <c r="L68" s="78">
        <v>0.69499999999999995</v>
      </c>
      <c r="M68" s="78"/>
      <c r="N68" s="78">
        <f>11.072+0.257</f>
        <v>11.328999999999999</v>
      </c>
      <c r="O68" s="79">
        <f t="shared" si="3"/>
        <v>24.023</v>
      </c>
    </row>
    <row r="69" spans="2:15" s="23" customFormat="1" ht="22.9" hidden="1" customHeight="1">
      <c r="B69" s="77" t="s">
        <v>68</v>
      </c>
      <c r="C69" s="78"/>
      <c r="D69" s="78"/>
      <c r="E69" s="78">
        <v>3.87</v>
      </c>
      <c r="F69" s="78"/>
      <c r="G69" s="78">
        <v>8.9290000000000003</v>
      </c>
      <c r="H69" s="78">
        <v>27.053999999999998</v>
      </c>
      <c r="I69" s="78">
        <v>2.1070000000000002</v>
      </c>
      <c r="J69" s="78"/>
      <c r="K69" s="78">
        <v>0.222</v>
      </c>
      <c r="L69" s="78">
        <v>8.1549999999999994</v>
      </c>
      <c r="M69" s="78">
        <v>0.22800000000000001</v>
      </c>
      <c r="N69" s="78">
        <v>5.016</v>
      </c>
      <c r="O69" s="79">
        <f t="shared" si="3"/>
        <v>55.580999999999996</v>
      </c>
    </row>
    <row r="70" spans="2:15" s="23" customFormat="1" ht="22.9" hidden="1" customHeight="1">
      <c r="B70" s="77" t="s">
        <v>69</v>
      </c>
      <c r="C70" s="78"/>
      <c r="D70" s="78"/>
      <c r="E70" s="78">
        <v>2.7970000000000002</v>
      </c>
      <c r="F70" s="78"/>
      <c r="G70" s="78">
        <v>5.97</v>
      </c>
      <c r="H70" s="78">
        <v>8.8670000000000009</v>
      </c>
      <c r="I70" s="78">
        <v>8.6760000000000002</v>
      </c>
      <c r="J70" s="78"/>
      <c r="K70" s="78">
        <v>1.79</v>
      </c>
      <c r="L70" s="78">
        <v>11.068</v>
      </c>
      <c r="M70" s="78">
        <v>5.8680000000000003</v>
      </c>
      <c r="N70" s="78">
        <v>0.67400000000000004</v>
      </c>
      <c r="O70" s="79">
        <f t="shared" si="3"/>
        <v>45.71</v>
      </c>
    </row>
    <row r="71" spans="2:15" s="23" customFormat="1" ht="22.9" hidden="1" customHeight="1">
      <c r="B71" s="77" t="s">
        <v>70</v>
      </c>
      <c r="C71" s="78"/>
      <c r="D71" s="78"/>
      <c r="E71" s="78">
        <v>0</v>
      </c>
      <c r="F71" s="78"/>
      <c r="G71" s="78">
        <v>26.233000000000001</v>
      </c>
      <c r="H71" s="78">
        <v>30.47</v>
      </c>
      <c r="I71" s="78">
        <v>26.835999999999999</v>
      </c>
      <c r="J71" s="78"/>
      <c r="K71" s="78">
        <v>10.528</v>
      </c>
      <c r="L71" s="78">
        <v>16.829999999999998</v>
      </c>
      <c r="M71" s="78">
        <v>9.43</v>
      </c>
      <c r="N71" s="78">
        <v>0.9</v>
      </c>
      <c r="O71" s="79">
        <f t="shared" si="3"/>
        <v>121.227</v>
      </c>
    </row>
    <row r="72" spans="2:15" s="23" customFormat="1" ht="22.9" hidden="1" customHeight="1">
      <c r="B72" s="77" t="s">
        <v>71</v>
      </c>
      <c r="C72" s="78"/>
      <c r="D72" s="78"/>
      <c r="E72" s="78">
        <v>88.706999999999994</v>
      </c>
      <c r="F72" s="78"/>
      <c r="G72" s="78">
        <v>18.09</v>
      </c>
      <c r="H72" s="78"/>
      <c r="I72" s="78">
        <v>1.377</v>
      </c>
      <c r="J72" s="78"/>
      <c r="K72" s="78">
        <v>89.814999999999998</v>
      </c>
      <c r="L72" s="78">
        <v>11.775</v>
      </c>
      <c r="M72" s="78"/>
      <c r="N72" s="78">
        <v>2.9289999999999998</v>
      </c>
      <c r="O72" s="79">
        <f t="shared" si="3"/>
        <v>212.69299999999998</v>
      </c>
    </row>
    <row r="73" spans="2:15" s="23" customFormat="1" ht="22.9" hidden="1" customHeight="1">
      <c r="B73" s="77" t="s">
        <v>72</v>
      </c>
      <c r="C73" s="78"/>
      <c r="D73" s="78"/>
      <c r="E73" s="78">
        <v>8.8940000000000001</v>
      </c>
      <c r="F73" s="78"/>
      <c r="G73" s="78"/>
      <c r="H73" s="78"/>
      <c r="I73" s="78"/>
      <c r="J73" s="78"/>
      <c r="K73" s="78"/>
      <c r="L73" s="78">
        <v>1.718</v>
      </c>
      <c r="M73" s="78"/>
      <c r="N73" s="78"/>
      <c r="O73" s="79">
        <f t="shared" si="3"/>
        <v>10.612</v>
      </c>
    </row>
    <row r="74" spans="2:15" s="23" customFormat="1" ht="22.9" hidden="1" customHeight="1">
      <c r="B74" s="77" t="s">
        <v>124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>
        <f t="shared" si="3"/>
        <v>0</v>
      </c>
    </row>
    <row r="75" spans="2:15" s="23" customFormat="1" ht="22.9" hidden="1" customHeight="1">
      <c r="B75" s="77" t="s">
        <v>73</v>
      </c>
      <c r="C75" s="78"/>
      <c r="D75" s="88"/>
      <c r="E75" s="78"/>
      <c r="F75" s="78">
        <v>2.4E-2</v>
      </c>
      <c r="G75" s="78"/>
      <c r="H75" s="78"/>
      <c r="I75" s="78"/>
      <c r="J75" s="78"/>
      <c r="K75" s="78"/>
      <c r="L75" s="78">
        <v>1.0409999999999999</v>
      </c>
      <c r="M75" s="78"/>
      <c r="N75" s="78">
        <f>0.311-0.257</f>
        <v>5.3999999999999992E-2</v>
      </c>
      <c r="O75" s="79">
        <f t="shared" si="3"/>
        <v>1.119</v>
      </c>
    </row>
    <row r="76" spans="2:15" s="30" customFormat="1" ht="22.9" hidden="1" customHeight="1">
      <c r="B76" s="84" t="s">
        <v>125</v>
      </c>
      <c r="C76" s="81">
        <f t="shared" ref="C76:M76" si="4">SUM(C67:C75)</f>
        <v>0.29899999999999999</v>
      </c>
      <c r="D76" s="81">
        <f>SUM(D67:D74)</f>
        <v>1.101</v>
      </c>
      <c r="E76" s="81">
        <f t="shared" si="4"/>
        <v>113.661</v>
      </c>
      <c r="F76" s="81">
        <f t="shared" si="4"/>
        <v>2.4E-2</v>
      </c>
      <c r="G76" s="81">
        <f t="shared" si="4"/>
        <v>60.004000000000005</v>
      </c>
      <c r="H76" s="81">
        <f t="shared" si="4"/>
        <v>70.700999999999993</v>
      </c>
      <c r="I76" s="81">
        <f t="shared" si="4"/>
        <v>39.336000000000006</v>
      </c>
      <c r="J76" s="81">
        <f t="shared" si="4"/>
        <v>6.9740000000000002</v>
      </c>
      <c r="K76" s="81">
        <f t="shared" si="4"/>
        <v>102.565</v>
      </c>
      <c r="L76" s="85">
        <f t="shared" si="4"/>
        <v>51.332999999999998</v>
      </c>
      <c r="M76" s="81">
        <f t="shared" si="4"/>
        <v>15.526</v>
      </c>
      <c r="N76" s="81">
        <f>SUM(N67:N75)</f>
        <v>21.622999999999994</v>
      </c>
      <c r="O76" s="76">
        <f>SUM(O67:O75)</f>
        <v>483.14700000000005</v>
      </c>
    </row>
    <row r="77" spans="2:15" s="30" customFormat="1" ht="22.9" hidden="1" customHeight="1" thickBot="1">
      <c r="B77" s="89" t="s">
        <v>149</v>
      </c>
      <c r="C77" s="91">
        <f>C76+C66</f>
        <v>0.29899999999999999</v>
      </c>
      <c r="D77" s="91">
        <f t="shared" ref="D77:N77" si="5">D76+D66</f>
        <v>1.101</v>
      </c>
      <c r="E77" s="91">
        <f t="shared" si="5"/>
        <v>113.824</v>
      </c>
      <c r="F77" s="91">
        <f t="shared" si="5"/>
        <v>2.4E-2</v>
      </c>
      <c r="G77" s="91">
        <f t="shared" si="5"/>
        <v>108.94900000000001</v>
      </c>
      <c r="H77" s="91">
        <f t="shared" si="5"/>
        <v>71.103999999999999</v>
      </c>
      <c r="I77" s="91">
        <f t="shared" si="5"/>
        <v>39.336000000000006</v>
      </c>
      <c r="J77" s="91">
        <f t="shared" si="5"/>
        <v>6.9740000000000002</v>
      </c>
      <c r="K77" s="91">
        <f t="shared" si="5"/>
        <v>102.565</v>
      </c>
      <c r="L77" s="90">
        <f>L76+L66</f>
        <v>51.332999999999998</v>
      </c>
      <c r="M77" s="91">
        <f t="shared" si="5"/>
        <v>15.526</v>
      </c>
      <c r="N77" s="91">
        <f t="shared" si="5"/>
        <v>21.658999999999995</v>
      </c>
      <c r="O77" s="92">
        <f>O76+O66</f>
        <v>532.69400000000007</v>
      </c>
    </row>
    <row r="78" spans="2:15" ht="30.4" hidden="1" customHeight="1" thickTop="1">
      <c r="B78" s="152" t="s">
        <v>218</v>
      </c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3"/>
      <c r="O78" s="154"/>
    </row>
    <row r="79" spans="2:15" ht="19.5" hidden="1" customHeight="1">
      <c r="B79" s="93" t="s">
        <v>229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4"/>
    </row>
    <row r="80" spans="2:15" s="23" customFormat="1" ht="20.25" hidden="1" customHeight="1">
      <c r="B80" s="95" t="s">
        <v>56</v>
      </c>
      <c r="C80" s="24"/>
      <c r="D80" s="24"/>
      <c r="E80" s="24"/>
      <c r="F80" s="24"/>
      <c r="G80" s="24">
        <v>5.1999999999999998E-2</v>
      </c>
      <c r="H80" s="24"/>
      <c r="I80" s="24"/>
      <c r="J80" s="24"/>
      <c r="K80" s="24"/>
      <c r="L80" s="24"/>
      <c r="M80" s="24"/>
      <c r="N80" s="24">
        <v>0.02</v>
      </c>
      <c r="O80" s="96">
        <f t="shared" ref="O80:O89" si="6">SUM(C80:N80)</f>
        <v>7.1999999999999995E-2</v>
      </c>
    </row>
    <row r="81" spans="2:15" s="23" customFormat="1" ht="20.25" hidden="1" customHeight="1">
      <c r="B81" s="95" t="s">
        <v>57</v>
      </c>
      <c r="C81" s="24"/>
      <c r="D81" s="24"/>
      <c r="E81" s="24"/>
      <c r="F81" s="24"/>
      <c r="G81" s="24">
        <v>1.37</v>
      </c>
      <c r="H81" s="24"/>
      <c r="I81" s="24"/>
      <c r="J81" s="24"/>
      <c r="K81" s="24"/>
      <c r="L81" s="24"/>
      <c r="M81" s="24"/>
      <c r="N81" s="24"/>
      <c r="O81" s="96">
        <f t="shared" si="6"/>
        <v>1.37</v>
      </c>
    </row>
    <row r="82" spans="2:15" s="23" customFormat="1" ht="20.25" hidden="1" customHeight="1">
      <c r="B82" s="95" t="s">
        <v>221</v>
      </c>
      <c r="C82" s="24"/>
      <c r="D82" s="24"/>
      <c r="E82" s="24">
        <v>0.157</v>
      </c>
      <c r="F82" s="24"/>
      <c r="G82" s="24"/>
      <c r="H82" s="24"/>
      <c r="I82" s="24"/>
      <c r="J82" s="24"/>
      <c r="K82" s="24"/>
      <c r="L82" s="24"/>
      <c r="M82" s="24"/>
      <c r="N82" s="24">
        <v>0.01</v>
      </c>
      <c r="O82" s="96">
        <f t="shared" si="6"/>
        <v>0.16700000000000001</v>
      </c>
    </row>
    <row r="83" spans="2:15" s="23" customFormat="1" ht="20.25" hidden="1" customHeight="1">
      <c r="B83" s="95" t="s">
        <v>59</v>
      </c>
      <c r="C83" s="24"/>
      <c r="D83" s="24"/>
      <c r="E83" s="24"/>
      <c r="F83" s="24"/>
      <c r="G83" s="24">
        <v>0.26</v>
      </c>
      <c r="H83" s="24"/>
      <c r="I83" s="24"/>
      <c r="J83" s="24"/>
      <c r="K83" s="24"/>
      <c r="L83" s="24"/>
      <c r="M83" s="24"/>
      <c r="N83" s="24"/>
      <c r="O83" s="96">
        <f t="shared" si="6"/>
        <v>0.26</v>
      </c>
    </row>
    <row r="84" spans="2:15" s="23" customFormat="1" ht="20.25" hidden="1" customHeight="1">
      <c r="B84" s="95" t="s">
        <v>60</v>
      </c>
      <c r="C84" s="24"/>
      <c r="D84" s="24"/>
      <c r="E84" s="24"/>
      <c r="F84" s="24"/>
      <c r="G84" s="24">
        <v>1.381</v>
      </c>
      <c r="H84" s="24">
        <v>0.33</v>
      </c>
      <c r="I84" s="24"/>
      <c r="J84" s="24"/>
      <c r="K84" s="24"/>
      <c r="L84" s="24"/>
      <c r="M84" s="24"/>
      <c r="N84" s="24"/>
      <c r="O84" s="96">
        <f t="shared" si="6"/>
        <v>1.7110000000000001</v>
      </c>
    </row>
    <row r="85" spans="2:15" s="23" customFormat="1" ht="20.25" hidden="1" customHeight="1">
      <c r="B85" s="95" t="s">
        <v>61</v>
      </c>
      <c r="C85" s="24"/>
      <c r="D85" s="24"/>
      <c r="E85" s="24"/>
      <c r="F85" s="24"/>
      <c r="G85" s="24">
        <v>12.346</v>
      </c>
      <c r="H85" s="24"/>
      <c r="I85" s="24"/>
      <c r="J85" s="24"/>
      <c r="K85" s="24"/>
      <c r="L85" s="24"/>
      <c r="M85" s="24"/>
      <c r="N85" s="24"/>
      <c r="O85" s="96">
        <f t="shared" si="6"/>
        <v>12.346</v>
      </c>
    </row>
    <row r="86" spans="2:15" s="23" customFormat="1" ht="20.25" hidden="1" customHeight="1">
      <c r="B86" s="95" t="s">
        <v>62</v>
      </c>
      <c r="C86" s="24"/>
      <c r="D86" s="24"/>
      <c r="E86" s="24"/>
      <c r="F86" s="24"/>
      <c r="G86" s="24">
        <v>35.655999999999999</v>
      </c>
      <c r="H86" s="24"/>
      <c r="I86" s="24"/>
      <c r="J86" s="24"/>
      <c r="K86" s="24"/>
      <c r="L86" s="24"/>
      <c r="M86" s="24"/>
      <c r="N86" s="24"/>
      <c r="O86" s="96">
        <f t="shared" si="6"/>
        <v>35.655999999999999</v>
      </c>
    </row>
    <row r="87" spans="2:15" s="23" customFormat="1" ht="20.25" hidden="1" customHeight="1">
      <c r="B87" s="95" t="s">
        <v>123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96">
        <f t="shared" si="6"/>
        <v>0</v>
      </c>
    </row>
    <row r="88" spans="2:15" s="23" customFormat="1" ht="20.25" hidden="1" customHeight="1">
      <c r="B88" s="97" t="s">
        <v>63</v>
      </c>
      <c r="C88" s="98"/>
      <c r="D88" s="98"/>
      <c r="E88" s="98"/>
      <c r="F88" s="98"/>
      <c r="G88" s="98">
        <v>14.186999999999999</v>
      </c>
      <c r="H88" s="98">
        <v>0.33</v>
      </c>
      <c r="I88" s="98"/>
      <c r="J88" s="98"/>
      <c r="K88" s="98"/>
      <c r="L88" s="98"/>
      <c r="M88" s="98"/>
      <c r="N88" s="98">
        <v>0.03</v>
      </c>
      <c r="O88" s="99">
        <f t="shared" si="6"/>
        <v>14.546999999999999</v>
      </c>
    </row>
    <row r="89" spans="2:15" s="23" customFormat="1" ht="20.25" hidden="1" customHeight="1">
      <c r="B89" s="95" t="s">
        <v>64</v>
      </c>
      <c r="C89" s="24">
        <f t="shared" ref="C89:H89" si="7">C90-C88</f>
        <v>0</v>
      </c>
      <c r="D89" s="24">
        <f t="shared" si="7"/>
        <v>0</v>
      </c>
      <c r="E89" s="24">
        <f t="shared" si="7"/>
        <v>0.157</v>
      </c>
      <c r="F89" s="24">
        <f t="shared" si="7"/>
        <v>0</v>
      </c>
      <c r="G89" s="24">
        <f t="shared" si="7"/>
        <v>36.878</v>
      </c>
      <c r="H89" s="24">
        <f t="shared" si="7"/>
        <v>0</v>
      </c>
      <c r="I89" s="24">
        <f t="shared" ref="I89:N89" si="8">I90-I88</f>
        <v>0</v>
      </c>
      <c r="J89" s="24">
        <f t="shared" si="8"/>
        <v>0</v>
      </c>
      <c r="K89" s="24">
        <f t="shared" si="8"/>
        <v>0</v>
      </c>
      <c r="L89" s="24">
        <f t="shared" si="8"/>
        <v>0</v>
      </c>
      <c r="M89" s="24">
        <f t="shared" si="8"/>
        <v>0</v>
      </c>
      <c r="N89" s="24">
        <f t="shared" si="8"/>
        <v>0</v>
      </c>
      <c r="O89" s="96">
        <f t="shared" si="6"/>
        <v>37.034999999999997</v>
      </c>
    </row>
    <row r="90" spans="2:15" s="30" customFormat="1" ht="20.25" hidden="1" customHeight="1">
      <c r="B90" s="100" t="s">
        <v>65</v>
      </c>
      <c r="C90" s="99">
        <v>0</v>
      </c>
      <c r="D90" s="99">
        <f>SUM(D80:D87)</f>
        <v>0</v>
      </c>
      <c r="E90" s="99">
        <f>SUM(E80:E87)</f>
        <v>0.157</v>
      </c>
      <c r="F90" s="99">
        <f>SUM(F80:F87)</f>
        <v>0</v>
      </c>
      <c r="G90" s="99">
        <f>SUM(G80:G87)</f>
        <v>51.064999999999998</v>
      </c>
      <c r="H90" s="99">
        <f t="shared" ref="H90:N90" si="9">SUM(H80:H87)</f>
        <v>0.33</v>
      </c>
      <c r="I90" s="99">
        <f t="shared" si="9"/>
        <v>0</v>
      </c>
      <c r="J90" s="99">
        <f t="shared" si="9"/>
        <v>0</v>
      </c>
      <c r="K90" s="99">
        <f t="shared" si="9"/>
        <v>0</v>
      </c>
      <c r="L90" s="99">
        <f>SUM(L80:L87)</f>
        <v>0</v>
      </c>
      <c r="M90" s="99">
        <f t="shared" si="9"/>
        <v>0</v>
      </c>
      <c r="N90" s="99">
        <f t="shared" si="9"/>
        <v>0.03</v>
      </c>
      <c r="O90" s="99">
        <f>SUM(O80:O87)</f>
        <v>51.582000000000001</v>
      </c>
    </row>
    <row r="91" spans="2:15" s="23" customFormat="1" ht="20.25" hidden="1" customHeight="1">
      <c r="B91" s="95" t="s">
        <v>230</v>
      </c>
      <c r="C91" s="24"/>
      <c r="D91" s="24">
        <v>0.25900000000000001</v>
      </c>
      <c r="E91" s="24"/>
      <c r="F91" s="24"/>
      <c r="G91" s="24"/>
      <c r="H91" s="24"/>
      <c r="I91" s="24"/>
      <c r="J91" s="24">
        <v>5.64</v>
      </c>
      <c r="K91" s="24"/>
      <c r="L91" s="24"/>
      <c r="M91" s="24"/>
      <c r="N91" s="24"/>
      <c r="O91" s="96">
        <f t="shared" ref="O91:O107" si="10">SUM(C91:N91)</f>
        <v>5.899</v>
      </c>
    </row>
    <row r="92" spans="2:15" s="23" customFormat="1" ht="20.25" hidden="1" customHeight="1">
      <c r="B92" s="95" t="s">
        <v>231</v>
      </c>
      <c r="C92" s="24"/>
      <c r="D92" s="24">
        <v>0.27900000000000003</v>
      </c>
      <c r="E92" s="24"/>
      <c r="F92" s="24"/>
      <c r="G92" s="24">
        <v>7.6999999999999999E-2</v>
      </c>
      <c r="H92" s="24"/>
      <c r="I92" s="24"/>
      <c r="J92" s="24"/>
      <c r="K92" s="24"/>
      <c r="L92" s="24">
        <v>3.4000000000000002E-2</v>
      </c>
      <c r="M92" s="24"/>
      <c r="N92" s="24">
        <v>0.09</v>
      </c>
      <c r="O92" s="96">
        <f t="shared" si="10"/>
        <v>0.48</v>
      </c>
    </row>
    <row r="93" spans="2:15" s="23" customFormat="1" ht="20.25" hidden="1" customHeight="1">
      <c r="B93" s="95" t="s">
        <v>232</v>
      </c>
      <c r="C93" s="24"/>
      <c r="D93" s="24"/>
      <c r="E93" s="24">
        <v>1.742</v>
      </c>
      <c r="F93" s="24"/>
      <c r="G93" s="24">
        <v>1.2909999999999999</v>
      </c>
      <c r="H93" s="24">
        <v>1.601</v>
      </c>
      <c r="I93" s="24"/>
      <c r="J93" s="24"/>
      <c r="K93" s="24"/>
      <c r="L93" s="24"/>
      <c r="M93" s="24"/>
      <c r="N93" s="24">
        <v>0.98799999999999999</v>
      </c>
      <c r="O93" s="96">
        <f t="shared" si="10"/>
        <v>5.6219999999999999</v>
      </c>
    </row>
    <row r="94" spans="2:15" s="23" customFormat="1" ht="20.25" hidden="1" customHeight="1">
      <c r="B94" s="95" t="s">
        <v>233</v>
      </c>
      <c r="C94" s="24"/>
      <c r="D94" s="24">
        <v>6.7000000000000004E-2</v>
      </c>
      <c r="E94" s="24">
        <v>2.8650000000000002</v>
      </c>
      <c r="F94" s="24"/>
      <c r="G94" s="24">
        <v>0.67600000000000005</v>
      </c>
      <c r="H94" s="24">
        <v>1.7110000000000001</v>
      </c>
      <c r="I94" s="24"/>
      <c r="J94" s="24"/>
      <c r="K94" s="24"/>
      <c r="L94" s="24"/>
      <c r="M94" s="24"/>
      <c r="N94" s="24">
        <v>12.3</v>
      </c>
      <c r="O94" s="96">
        <f t="shared" si="10"/>
        <v>17.619</v>
      </c>
    </row>
    <row r="95" spans="2:15" s="23" customFormat="1" ht="20.25" hidden="1" customHeight="1">
      <c r="B95" s="95" t="s">
        <v>234</v>
      </c>
      <c r="C95" s="24"/>
      <c r="D95" s="24"/>
      <c r="E95" s="24">
        <v>4.5369999999999999</v>
      </c>
      <c r="F95" s="24"/>
      <c r="G95" s="24">
        <v>3.8359999999999999</v>
      </c>
      <c r="H95" s="24">
        <v>2.4940000000000002</v>
      </c>
      <c r="I95" s="24">
        <v>0.28399999999999997</v>
      </c>
      <c r="J95" s="24"/>
      <c r="K95" s="24">
        <v>0.11799999999999999</v>
      </c>
      <c r="L95" s="24">
        <v>0.68600000000000005</v>
      </c>
      <c r="M95" s="24">
        <v>0.158</v>
      </c>
      <c r="N95" s="24">
        <v>3.0489999999999999</v>
      </c>
      <c r="O95" s="96">
        <f t="shared" si="10"/>
        <v>15.161999999999999</v>
      </c>
    </row>
    <row r="96" spans="2:15" s="23" customFormat="1" ht="20.25" hidden="1" customHeight="1">
      <c r="B96" s="95" t="s">
        <v>235</v>
      </c>
      <c r="C96" s="24"/>
      <c r="D96" s="24"/>
      <c r="E96" s="24">
        <v>2.6230000000000002</v>
      </c>
      <c r="F96" s="24"/>
      <c r="G96" s="24">
        <v>6.97</v>
      </c>
      <c r="H96" s="24">
        <v>7.218</v>
      </c>
      <c r="I96" s="24">
        <v>0.89</v>
      </c>
      <c r="J96" s="24"/>
      <c r="K96" s="24"/>
      <c r="L96" s="24"/>
      <c r="M96" s="24">
        <v>0.122</v>
      </c>
      <c r="N96" s="24">
        <v>4.8849999999999998</v>
      </c>
      <c r="O96" s="96">
        <f t="shared" si="10"/>
        <v>22.707999999999998</v>
      </c>
    </row>
    <row r="97" spans="2:15" s="23" customFormat="1" ht="20.25" hidden="1" customHeight="1">
      <c r="B97" s="95" t="s">
        <v>236</v>
      </c>
      <c r="C97" s="24"/>
      <c r="D97" s="24"/>
      <c r="E97" s="24">
        <v>1.1000000000000001</v>
      </c>
      <c r="F97" s="24"/>
      <c r="G97" s="24">
        <v>1.601</v>
      </c>
      <c r="H97" s="24">
        <v>21.716000000000001</v>
      </c>
      <c r="I97" s="24">
        <v>1.325</v>
      </c>
      <c r="J97" s="24"/>
      <c r="K97" s="24">
        <v>3.5000000000000003E-2</v>
      </c>
      <c r="L97" s="24">
        <v>7.27</v>
      </c>
      <c r="M97" s="24"/>
      <c r="N97" s="24">
        <v>1.7949999999999999</v>
      </c>
      <c r="O97" s="96">
        <f t="shared" si="10"/>
        <v>34.841999999999999</v>
      </c>
    </row>
    <row r="98" spans="2:15" s="23" customFormat="1" ht="20.25" hidden="1" customHeight="1">
      <c r="B98" s="95" t="s">
        <v>237</v>
      </c>
      <c r="C98" s="24"/>
      <c r="D98" s="24"/>
      <c r="E98" s="24">
        <v>1.141</v>
      </c>
      <c r="F98" s="24"/>
      <c r="G98" s="24">
        <v>4.8099999999999996</v>
      </c>
      <c r="H98" s="24">
        <v>2.87</v>
      </c>
      <c r="I98" s="24">
        <v>7.1680000000000001</v>
      </c>
      <c r="J98" s="24"/>
      <c r="K98" s="24">
        <v>0.22900000000000001</v>
      </c>
      <c r="L98" s="24"/>
      <c r="M98" s="24">
        <v>7.8819999999999997</v>
      </c>
      <c r="N98" s="24">
        <v>8.8999999999999996E-2</v>
      </c>
      <c r="O98" s="96">
        <f t="shared" si="10"/>
        <v>24.189</v>
      </c>
    </row>
    <row r="99" spans="2:15" s="23" customFormat="1" ht="20.25" hidden="1" customHeight="1">
      <c r="B99" s="95" t="s">
        <v>238</v>
      </c>
      <c r="C99" s="24"/>
      <c r="D99" s="24"/>
      <c r="E99" s="24">
        <v>1.365</v>
      </c>
      <c r="F99" s="24"/>
      <c r="G99" s="24">
        <v>20.431000000000001</v>
      </c>
      <c r="H99" s="24">
        <v>1.4359999999999999</v>
      </c>
      <c r="I99" s="24">
        <v>29.064</v>
      </c>
      <c r="J99" s="24"/>
      <c r="K99" s="24">
        <v>1.3069999999999999</v>
      </c>
      <c r="L99" s="24">
        <v>13.102</v>
      </c>
      <c r="M99" s="24"/>
      <c r="N99" s="24">
        <v>0.112</v>
      </c>
      <c r="O99" s="96">
        <f t="shared" si="10"/>
        <v>66.816999999999993</v>
      </c>
    </row>
    <row r="100" spans="2:15" s="23" customFormat="1" ht="20.25" hidden="1" customHeight="1">
      <c r="B100" s="95" t="s">
        <v>239</v>
      </c>
      <c r="C100" s="24"/>
      <c r="D100" s="24"/>
      <c r="E100" s="24">
        <v>9.4030000000000005</v>
      </c>
      <c r="F100" s="24"/>
      <c r="G100" s="24">
        <v>3.08</v>
      </c>
      <c r="H100" s="24">
        <v>36.295000000000002</v>
      </c>
      <c r="I100" s="24"/>
      <c r="J100" s="24"/>
      <c r="K100" s="24">
        <v>2.2400000000000002</v>
      </c>
      <c r="L100" s="24">
        <v>0.17199999999999999</v>
      </c>
      <c r="M100" s="24">
        <v>7.9279999999999999</v>
      </c>
      <c r="N100" s="24"/>
      <c r="O100" s="96">
        <f t="shared" si="10"/>
        <v>59.118000000000002</v>
      </c>
    </row>
    <row r="101" spans="2:15" s="23" customFormat="1" ht="20.25" hidden="1" customHeight="1">
      <c r="B101" s="95" t="s">
        <v>240</v>
      </c>
      <c r="C101" s="24"/>
      <c r="D101" s="24"/>
      <c r="E101" s="24">
        <v>72.078999999999994</v>
      </c>
      <c r="F101" s="24"/>
      <c r="G101" s="24">
        <v>17.282</v>
      </c>
      <c r="H101" s="24">
        <v>0.27700000000000002</v>
      </c>
      <c r="I101" s="24"/>
      <c r="J101" s="24"/>
      <c r="K101" s="24">
        <v>11.644</v>
      </c>
      <c r="L101" s="24">
        <v>15.958</v>
      </c>
      <c r="M101" s="24"/>
      <c r="N101" s="24">
        <v>3.129</v>
      </c>
      <c r="O101" s="96">
        <f t="shared" si="10"/>
        <v>120.369</v>
      </c>
    </row>
    <row r="102" spans="2:15" s="23" customFormat="1" ht="20.25" hidden="1" customHeight="1">
      <c r="B102" s="95" t="s">
        <v>241</v>
      </c>
      <c r="C102" s="24"/>
      <c r="D102" s="24"/>
      <c r="E102" s="24">
        <v>11.593</v>
      </c>
      <c r="F102" s="24"/>
      <c r="G102" s="24"/>
      <c r="H102" s="24"/>
      <c r="I102" s="24"/>
      <c r="J102" s="24"/>
      <c r="K102" s="24">
        <v>25.338999999999999</v>
      </c>
      <c r="L102" s="24"/>
      <c r="M102" s="24"/>
      <c r="N102" s="24"/>
      <c r="O102" s="96">
        <f t="shared" si="10"/>
        <v>36.932000000000002</v>
      </c>
    </row>
    <row r="103" spans="2:15" s="23" customFormat="1" ht="20.25" hidden="1" customHeight="1">
      <c r="B103" s="95" t="s">
        <v>242</v>
      </c>
      <c r="C103" s="24"/>
      <c r="D103" s="24"/>
      <c r="E103" s="24"/>
      <c r="F103" s="24"/>
      <c r="G103" s="24"/>
      <c r="H103" s="24"/>
      <c r="I103" s="24">
        <v>6.2E-2</v>
      </c>
      <c r="J103" s="24"/>
      <c r="K103" s="24">
        <v>68.506</v>
      </c>
      <c r="L103" s="24">
        <v>12.522</v>
      </c>
      <c r="M103" s="24"/>
      <c r="N103" s="24"/>
      <c r="O103" s="96">
        <f t="shared" si="10"/>
        <v>81.09</v>
      </c>
    </row>
    <row r="104" spans="2:15" s="23" customFormat="1" ht="20.25" hidden="1" customHeight="1">
      <c r="B104" s="95" t="s">
        <v>243</v>
      </c>
      <c r="C104" s="24"/>
      <c r="D104" s="24"/>
      <c r="E104" s="24">
        <v>2.4540000000000002</v>
      </c>
      <c r="F104" s="24"/>
      <c r="G104" s="24"/>
      <c r="H104" s="24"/>
      <c r="I104" s="24"/>
      <c r="J104" s="24"/>
      <c r="K104" s="24">
        <v>0.71399999999999997</v>
      </c>
      <c r="L104" s="24"/>
      <c r="M104" s="24"/>
      <c r="N104" s="24"/>
      <c r="O104" s="96">
        <f t="shared" si="10"/>
        <v>3.1680000000000001</v>
      </c>
    </row>
    <row r="105" spans="2:15" s="23" customFormat="1" ht="20.25" hidden="1" customHeight="1">
      <c r="B105" s="95" t="s">
        <v>244</v>
      </c>
      <c r="C105" s="24"/>
      <c r="D105" s="24"/>
      <c r="E105" s="24">
        <v>1.4139999999999999</v>
      </c>
      <c r="F105" s="24"/>
      <c r="G105" s="24">
        <v>6.9000000000000006E-2</v>
      </c>
      <c r="H105" s="24"/>
      <c r="I105" s="24">
        <v>0.34100000000000003</v>
      </c>
      <c r="J105" s="24"/>
      <c r="K105" s="24"/>
      <c r="L105" s="24">
        <v>2.1440000000000001</v>
      </c>
      <c r="M105" s="24"/>
      <c r="N105" s="24"/>
      <c r="O105" s="96">
        <f t="shared" si="10"/>
        <v>3.968</v>
      </c>
    </row>
    <row r="106" spans="2:15" s="23" customFormat="1" ht="20.25" hidden="1" customHeight="1">
      <c r="B106" s="95" t="s">
        <v>245</v>
      </c>
      <c r="C106" s="24"/>
      <c r="D106" s="24"/>
      <c r="E106" s="24">
        <v>1.63</v>
      </c>
      <c r="F106" s="24"/>
      <c r="G106" s="24"/>
      <c r="H106" s="24"/>
      <c r="I106" s="24"/>
      <c r="J106" s="24"/>
      <c r="K106" s="24"/>
      <c r="L106" s="24"/>
      <c r="M106" s="24"/>
      <c r="N106" s="24"/>
      <c r="O106" s="96">
        <f t="shared" si="10"/>
        <v>1.63</v>
      </c>
    </row>
    <row r="107" spans="2:15" s="23" customFormat="1" ht="20.25" hidden="1" customHeight="1">
      <c r="B107" s="95" t="s">
        <v>246</v>
      </c>
      <c r="C107" s="24">
        <v>7.2999999999999995E-2</v>
      </c>
      <c r="D107" s="24"/>
      <c r="E107" s="24">
        <v>3.7269999999999999</v>
      </c>
      <c r="F107" s="24">
        <v>1.9E-2</v>
      </c>
      <c r="G107" s="24">
        <v>8.5999999999999993E-2</v>
      </c>
      <c r="H107" s="24"/>
      <c r="I107" s="24"/>
      <c r="J107" s="24"/>
      <c r="K107" s="24"/>
      <c r="L107" s="24">
        <v>1.302</v>
      </c>
      <c r="M107" s="24"/>
      <c r="N107" s="24"/>
      <c r="O107" s="96">
        <f t="shared" si="10"/>
        <v>5.2069999999999999</v>
      </c>
    </row>
    <row r="108" spans="2:15" s="30" customFormat="1" ht="20.25" hidden="1" customHeight="1">
      <c r="B108" s="100" t="s">
        <v>125</v>
      </c>
      <c r="C108" s="101">
        <f>SUM(C91:C107)</f>
        <v>7.2999999999999995E-2</v>
      </c>
      <c r="D108" s="101">
        <f>SUM(D91:D107)</f>
        <v>0.60499999999999998</v>
      </c>
      <c r="E108" s="101">
        <f t="shared" ref="E108:O108" si="11">SUM(E91:E107)</f>
        <v>117.67299999999999</v>
      </c>
      <c r="F108" s="101">
        <f t="shared" si="11"/>
        <v>1.9E-2</v>
      </c>
      <c r="G108" s="101">
        <f t="shared" si="11"/>
        <v>60.209000000000003</v>
      </c>
      <c r="H108" s="101">
        <f t="shared" si="11"/>
        <v>75.618000000000009</v>
      </c>
      <c r="I108" s="101">
        <f t="shared" si="11"/>
        <v>39.134</v>
      </c>
      <c r="J108" s="101">
        <f t="shared" si="11"/>
        <v>5.64</v>
      </c>
      <c r="K108" s="101">
        <f t="shared" si="11"/>
        <v>110.13200000000001</v>
      </c>
      <c r="L108" s="29">
        <f>SUM(L91:L107)</f>
        <v>53.19</v>
      </c>
      <c r="M108" s="101">
        <f t="shared" si="11"/>
        <v>16.09</v>
      </c>
      <c r="N108" s="101">
        <f t="shared" si="11"/>
        <v>26.436999999999998</v>
      </c>
      <c r="O108" s="101">
        <f t="shared" si="11"/>
        <v>504.82</v>
      </c>
    </row>
    <row r="109" spans="2:15" s="30" customFormat="1" ht="20.25" hidden="1" customHeight="1" thickBot="1">
      <c r="B109" s="102" t="s">
        <v>149</v>
      </c>
      <c r="C109" s="31">
        <f t="shared" ref="C109:O109" si="12">C108+C90</f>
        <v>7.2999999999999995E-2</v>
      </c>
      <c r="D109" s="31">
        <f t="shared" si="12"/>
        <v>0.60499999999999998</v>
      </c>
      <c r="E109" s="31">
        <f t="shared" si="12"/>
        <v>117.82999999999998</v>
      </c>
      <c r="F109" s="31">
        <f t="shared" si="12"/>
        <v>1.9E-2</v>
      </c>
      <c r="G109" s="31">
        <f t="shared" si="12"/>
        <v>111.274</v>
      </c>
      <c r="H109" s="31">
        <f t="shared" si="12"/>
        <v>75.948000000000008</v>
      </c>
      <c r="I109" s="31">
        <f t="shared" si="12"/>
        <v>39.134</v>
      </c>
      <c r="J109" s="31">
        <f t="shared" si="12"/>
        <v>5.64</v>
      </c>
      <c r="K109" s="31">
        <f t="shared" si="12"/>
        <v>110.13200000000001</v>
      </c>
      <c r="L109" s="31">
        <f t="shared" si="12"/>
        <v>53.19</v>
      </c>
      <c r="M109" s="31">
        <f t="shared" si="12"/>
        <v>16.09</v>
      </c>
      <c r="N109" s="31">
        <f t="shared" si="12"/>
        <v>26.466999999999999</v>
      </c>
      <c r="O109" s="31">
        <f t="shared" si="12"/>
        <v>556.40200000000004</v>
      </c>
    </row>
    <row r="110" spans="2:15" ht="30.4" hidden="1" customHeight="1" thickTop="1">
      <c r="B110" s="103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4"/>
    </row>
    <row r="111" spans="2:15" ht="30.4" hidden="1" customHeight="1"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4"/>
    </row>
    <row r="112" spans="2:15" hidden="1">
      <c r="B112" s="103" t="s">
        <v>258</v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4"/>
    </row>
    <row r="113" spans="2:15" s="23" customFormat="1" hidden="1">
      <c r="B113" s="105" t="s">
        <v>56</v>
      </c>
      <c r="C113" s="106"/>
      <c r="D113" s="106"/>
      <c r="E113" s="106"/>
      <c r="F113" s="106"/>
      <c r="G113" s="106">
        <v>6.0999999999999999E-2</v>
      </c>
      <c r="H113" s="106"/>
      <c r="I113" s="106"/>
      <c r="J113" s="106"/>
      <c r="K113" s="106"/>
      <c r="L113" s="106"/>
      <c r="M113" s="106"/>
      <c r="N113" s="106"/>
      <c r="O113" s="107">
        <f t="shared" ref="O113:O122" si="13">SUM(C113:N113)</f>
        <v>6.0999999999999999E-2</v>
      </c>
    </row>
    <row r="114" spans="2:15" s="23" customFormat="1" hidden="1">
      <c r="B114" s="108" t="s">
        <v>57</v>
      </c>
      <c r="C114" s="109"/>
      <c r="D114" s="109"/>
      <c r="E114" s="109"/>
      <c r="F114" s="109"/>
      <c r="G114" s="109">
        <v>0.60399999999999998</v>
      </c>
      <c r="H114" s="109"/>
      <c r="I114" s="109"/>
      <c r="J114" s="109"/>
      <c r="K114" s="109"/>
      <c r="L114" s="109"/>
      <c r="M114" s="109"/>
      <c r="N114" s="109"/>
      <c r="O114" s="110">
        <f t="shared" si="13"/>
        <v>0.60399999999999998</v>
      </c>
    </row>
    <row r="115" spans="2:15" s="23" customFormat="1" hidden="1">
      <c r="B115" s="108" t="s">
        <v>221</v>
      </c>
      <c r="C115" s="109"/>
      <c r="D115" s="109"/>
      <c r="E115" s="109">
        <v>0.125</v>
      </c>
      <c r="F115" s="109"/>
      <c r="G115" s="109"/>
      <c r="H115" s="109"/>
      <c r="I115" s="109"/>
      <c r="J115" s="109"/>
      <c r="K115" s="109"/>
      <c r="L115" s="109"/>
      <c r="M115" s="109"/>
      <c r="N115" s="109">
        <v>0.01</v>
      </c>
      <c r="O115" s="110">
        <f t="shared" si="13"/>
        <v>0.13500000000000001</v>
      </c>
    </row>
    <row r="116" spans="2:15" s="23" customFormat="1" hidden="1">
      <c r="B116" s="108" t="s">
        <v>59</v>
      </c>
      <c r="C116" s="109"/>
      <c r="D116" s="109"/>
      <c r="E116" s="109"/>
      <c r="F116" s="109"/>
      <c r="G116" s="109">
        <v>0.14499999999999999</v>
      </c>
      <c r="H116" s="109"/>
      <c r="I116" s="109"/>
      <c r="J116" s="109"/>
      <c r="K116" s="109"/>
      <c r="L116" s="109"/>
      <c r="M116" s="109"/>
      <c r="N116" s="109"/>
      <c r="O116" s="110">
        <f t="shared" si="13"/>
        <v>0.14499999999999999</v>
      </c>
    </row>
    <row r="117" spans="2:15" s="23" customFormat="1" hidden="1">
      <c r="B117" s="108" t="s">
        <v>60</v>
      </c>
      <c r="C117" s="109"/>
      <c r="D117" s="109"/>
      <c r="E117" s="109"/>
      <c r="F117" s="109"/>
      <c r="G117" s="109">
        <v>1.4390000000000001</v>
      </c>
      <c r="H117" s="109">
        <v>0.249</v>
      </c>
      <c r="I117" s="109"/>
      <c r="J117" s="109"/>
      <c r="K117" s="109"/>
      <c r="L117" s="109"/>
      <c r="M117" s="109"/>
      <c r="N117" s="109">
        <v>0.35399999999999998</v>
      </c>
      <c r="O117" s="110">
        <f t="shared" si="13"/>
        <v>2.0420000000000003</v>
      </c>
    </row>
    <row r="118" spans="2:15" s="23" customFormat="1" hidden="1">
      <c r="B118" s="108" t="s">
        <v>61</v>
      </c>
      <c r="C118" s="109"/>
      <c r="D118" s="109"/>
      <c r="E118" s="109"/>
      <c r="F118" s="109"/>
      <c r="G118" s="109">
        <v>11.877000000000001</v>
      </c>
      <c r="H118" s="109"/>
      <c r="I118" s="109"/>
      <c r="J118" s="109"/>
      <c r="K118" s="109"/>
      <c r="L118" s="109"/>
      <c r="M118" s="109"/>
      <c r="N118" s="109">
        <v>0.73899999999999999</v>
      </c>
      <c r="O118" s="110">
        <f t="shared" si="13"/>
        <v>12.616000000000001</v>
      </c>
    </row>
    <row r="119" spans="2:15" s="23" customFormat="1" hidden="1">
      <c r="B119" s="108" t="s">
        <v>62</v>
      </c>
      <c r="C119" s="109"/>
      <c r="D119" s="109"/>
      <c r="E119" s="109"/>
      <c r="F119" s="109"/>
      <c r="G119" s="109">
        <v>40.962000000000003</v>
      </c>
      <c r="H119" s="109"/>
      <c r="I119" s="109"/>
      <c r="J119" s="109"/>
      <c r="K119" s="109"/>
      <c r="L119" s="109"/>
      <c r="M119" s="109"/>
      <c r="N119" s="109"/>
      <c r="O119" s="110">
        <f t="shared" si="13"/>
        <v>40.962000000000003</v>
      </c>
    </row>
    <row r="120" spans="2:15" s="23" customFormat="1" hidden="1">
      <c r="B120" s="108" t="s">
        <v>123</v>
      </c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>
        <v>0.253</v>
      </c>
      <c r="O120" s="110">
        <f t="shared" si="13"/>
        <v>0.253</v>
      </c>
    </row>
    <row r="121" spans="2:15" s="23" customFormat="1" hidden="1">
      <c r="B121" s="111" t="s">
        <v>63</v>
      </c>
      <c r="C121" s="98"/>
      <c r="D121" s="98"/>
      <c r="E121" s="98"/>
      <c r="F121" s="98"/>
      <c r="G121" s="98">
        <v>14.855</v>
      </c>
      <c r="H121" s="98">
        <v>0.249</v>
      </c>
      <c r="I121" s="98"/>
      <c r="J121" s="98"/>
      <c r="K121" s="98"/>
      <c r="L121" s="98"/>
      <c r="M121" s="98"/>
      <c r="N121" s="98">
        <v>0.01</v>
      </c>
      <c r="O121" s="112">
        <f t="shared" si="13"/>
        <v>15.114000000000001</v>
      </c>
    </row>
    <row r="122" spans="2:15" s="23" customFormat="1" hidden="1">
      <c r="B122" s="113" t="s">
        <v>64</v>
      </c>
      <c r="C122" s="24">
        <f t="shared" ref="C122:N122" si="14">C123-C121</f>
        <v>0</v>
      </c>
      <c r="D122" s="24">
        <f t="shared" si="14"/>
        <v>0</v>
      </c>
      <c r="E122" s="24">
        <f t="shared" si="14"/>
        <v>0.125</v>
      </c>
      <c r="F122" s="24">
        <f t="shared" si="14"/>
        <v>0</v>
      </c>
      <c r="G122" s="24">
        <f t="shared" si="14"/>
        <v>40.233000000000004</v>
      </c>
      <c r="H122" s="24">
        <f t="shared" si="14"/>
        <v>0</v>
      </c>
      <c r="I122" s="24">
        <f t="shared" si="14"/>
        <v>0</v>
      </c>
      <c r="J122" s="24">
        <f t="shared" si="14"/>
        <v>0</v>
      </c>
      <c r="K122" s="24">
        <f t="shared" si="14"/>
        <v>0</v>
      </c>
      <c r="L122" s="24">
        <f t="shared" si="14"/>
        <v>0</v>
      </c>
      <c r="M122" s="24">
        <f t="shared" si="14"/>
        <v>0</v>
      </c>
      <c r="N122" s="24">
        <f t="shared" si="14"/>
        <v>1.3459999999999999</v>
      </c>
      <c r="O122" s="110">
        <f t="shared" si="13"/>
        <v>41.704000000000001</v>
      </c>
    </row>
    <row r="123" spans="2:15" s="30" customFormat="1" ht="25.5" hidden="1">
      <c r="B123" s="41" t="s">
        <v>146</v>
      </c>
      <c r="C123" s="99">
        <f t="shared" ref="C123:O123" si="15">SUM(C113:C120)</f>
        <v>0</v>
      </c>
      <c r="D123" s="99">
        <f t="shared" si="15"/>
        <v>0</v>
      </c>
      <c r="E123" s="99">
        <f t="shared" si="15"/>
        <v>0.125</v>
      </c>
      <c r="F123" s="99">
        <f t="shared" si="15"/>
        <v>0</v>
      </c>
      <c r="G123" s="99">
        <f t="shared" si="15"/>
        <v>55.088000000000008</v>
      </c>
      <c r="H123" s="99">
        <f t="shared" si="15"/>
        <v>0.249</v>
      </c>
      <c r="I123" s="99">
        <f t="shared" si="15"/>
        <v>0</v>
      </c>
      <c r="J123" s="99">
        <f t="shared" si="15"/>
        <v>0</v>
      </c>
      <c r="K123" s="99">
        <f t="shared" si="15"/>
        <v>0</v>
      </c>
      <c r="L123" s="99">
        <f>SUM(L113:L120)</f>
        <v>0</v>
      </c>
      <c r="M123" s="99">
        <f t="shared" si="15"/>
        <v>0</v>
      </c>
      <c r="N123" s="99">
        <f t="shared" si="15"/>
        <v>1.3559999999999999</v>
      </c>
      <c r="O123" s="112">
        <f t="shared" si="15"/>
        <v>56.818000000000005</v>
      </c>
    </row>
    <row r="124" spans="2:15" s="23" customFormat="1" hidden="1">
      <c r="B124" s="108" t="s">
        <v>230</v>
      </c>
      <c r="C124" s="109"/>
      <c r="D124" s="109">
        <v>0.33100000000000002</v>
      </c>
      <c r="E124" s="109"/>
      <c r="F124" s="109"/>
      <c r="G124" s="109">
        <v>6.7000000000000004E-2</v>
      </c>
      <c r="H124" s="109"/>
      <c r="I124" s="109"/>
      <c r="J124" s="109">
        <v>5.7320000000000002</v>
      </c>
      <c r="K124" s="109"/>
      <c r="L124" s="109"/>
      <c r="M124" s="109"/>
      <c r="N124" s="109"/>
      <c r="O124" s="114">
        <f t="shared" ref="O124:O141" si="16">SUM(C124:N124)</f>
        <v>6.13</v>
      </c>
    </row>
    <row r="125" spans="2:15" s="23" customFormat="1" hidden="1">
      <c r="B125" s="108" t="s">
        <v>231</v>
      </c>
      <c r="C125" s="109"/>
      <c r="D125" s="109">
        <v>0.29799999999999999</v>
      </c>
      <c r="E125" s="109"/>
      <c r="F125" s="109"/>
      <c r="G125" s="109">
        <v>6.2E-2</v>
      </c>
      <c r="H125" s="109"/>
      <c r="I125" s="109"/>
      <c r="J125" s="109"/>
      <c r="K125" s="109"/>
      <c r="L125" s="109"/>
      <c r="M125" s="109"/>
      <c r="N125" s="109">
        <v>5.6000000000000001E-2</v>
      </c>
      <c r="O125" s="114">
        <f t="shared" si="16"/>
        <v>0.41599999999999998</v>
      </c>
    </row>
    <row r="126" spans="2:15" s="23" customFormat="1" hidden="1">
      <c r="B126" s="108" t="s">
        <v>232</v>
      </c>
      <c r="C126" s="109"/>
      <c r="D126" s="109"/>
      <c r="E126" s="109">
        <v>1.796</v>
      </c>
      <c r="F126" s="109"/>
      <c r="G126" s="109">
        <v>0.79400000000000004</v>
      </c>
      <c r="H126" s="109">
        <v>1.647</v>
      </c>
      <c r="I126" s="109"/>
      <c r="J126" s="109"/>
      <c r="K126" s="109"/>
      <c r="L126" s="109"/>
      <c r="M126" s="109"/>
      <c r="N126" s="109">
        <v>1.137</v>
      </c>
      <c r="O126" s="114">
        <f t="shared" si="16"/>
        <v>5.3740000000000006</v>
      </c>
    </row>
    <row r="127" spans="2:15" s="23" customFormat="1" hidden="1">
      <c r="B127" s="108" t="s">
        <v>233</v>
      </c>
      <c r="C127" s="109"/>
      <c r="D127" s="109">
        <v>3.5000000000000003E-2</v>
      </c>
      <c r="E127" s="109">
        <v>3.8290000000000002</v>
      </c>
      <c r="F127" s="109"/>
      <c r="G127" s="109">
        <v>0.32400000000000001</v>
      </c>
      <c r="H127" s="109">
        <v>1.3939999999999999</v>
      </c>
      <c r="I127" s="109"/>
      <c r="J127" s="109"/>
      <c r="K127" s="109"/>
      <c r="L127" s="109"/>
      <c r="M127" s="109"/>
      <c r="N127" s="109">
        <v>15.944000000000001</v>
      </c>
      <c r="O127" s="114">
        <f t="shared" si="16"/>
        <v>21.526000000000003</v>
      </c>
    </row>
    <row r="128" spans="2:15" s="23" customFormat="1" hidden="1">
      <c r="B128" s="108" t="s">
        <v>234</v>
      </c>
      <c r="C128" s="109"/>
      <c r="D128" s="109"/>
      <c r="E128" s="109">
        <v>3.351</v>
      </c>
      <c r="F128" s="109"/>
      <c r="G128" s="109">
        <v>3.4950000000000001</v>
      </c>
      <c r="H128" s="109">
        <v>2.0299999999999998</v>
      </c>
      <c r="I128" s="109">
        <v>0.16200000000000001</v>
      </c>
      <c r="J128" s="109"/>
      <c r="K128" s="109">
        <v>0.10100000000000001</v>
      </c>
      <c r="L128" s="109">
        <v>0.73099999999999998</v>
      </c>
      <c r="M128" s="109">
        <v>0.14599999999999999</v>
      </c>
      <c r="N128" s="109">
        <v>3.22</v>
      </c>
      <c r="O128" s="114">
        <f t="shared" si="16"/>
        <v>13.236000000000002</v>
      </c>
    </row>
    <row r="129" spans="2:15" s="23" customFormat="1" hidden="1">
      <c r="B129" s="108" t="s">
        <v>235</v>
      </c>
      <c r="C129" s="109"/>
      <c r="D129" s="109"/>
      <c r="E129" s="109">
        <v>3.2669999999999999</v>
      </c>
      <c r="F129" s="109"/>
      <c r="G129" s="109">
        <v>4.9029999999999996</v>
      </c>
      <c r="H129" s="109">
        <v>7.5019999999999998</v>
      </c>
      <c r="I129" s="109">
        <v>0.80600000000000005</v>
      </c>
      <c r="J129" s="109"/>
      <c r="K129" s="109"/>
      <c r="L129" s="109">
        <v>1.7000000000000001E-2</v>
      </c>
      <c r="M129" s="109">
        <v>0.14699999999999999</v>
      </c>
      <c r="N129" s="109">
        <v>1.0720000000000001</v>
      </c>
      <c r="O129" s="114">
        <f t="shared" si="16"/>
        <v>17.713999999999999</v>
      </c>
    </row>
    <row r="130" spans="2:15" s="23" customFormat="1" hidden="1">
      <c r="B130" s="108" t="s">
        <v>236</v>
      </c>
      <c r="C130" s="109"/>
      <c r="D130" s="109"/>
      <c r="E130" s="109">
        <v>1.575</v>
      </c>
      <c r="F130" s="109"/>
      <c r="G130" s="109">
        <v>1.9830000000000001</v>
      </c>
      <c r="H130" s="109">
        <v>22.641999999999999</v>
      </c>
      <c r="I130" s="109">
        <v>1.2909999999999999</v>
      </c>
      <c r="J130" s="109"/>
      <c r="K130" s="109">
        <v>3.2000000000000001E-2</v>
      </c>
      <c r="L130" s="109">
        <v>5.8810000000000002</v>
      </c>
      <c r="M130" s="109"/>
      <c r="N130" s="109">
        <v>2.4329999999999998</v>
      </c>
      <c r="O130" s="114">
        <f t="shared" si="16"/>
        <v>35.836999999999996</v>
      </c>
    </row>
    <row r="131" spans="2:15" s="23" customFormat="1" hidden="1">
      <c r="B131" s="108" t="s">
        <v>237</v>
      </c>
      <c r="C131" s="109"/>
      <c r="D131" s="109"/>
      <c r="E131" s="109">
        <v>0.93799999999999994</v>
      </c>
      <c r="F131" s="109"/>
      <c r="G131" s="109">
        <v>4.6630000000000003</v>
      </c>
      <c r="H131" s="109">
        <v>3.1</v>
      </c>
      <c r="I131" s="109">
        <v>10.54</v>
      </c>
      <c r="J131" s="109"/>
      <c r="K131" s="109">
        <v>0.16200000000000001</v>
      </c>
      <c r="L131" s="109">
        <v>1.333</v>
      </c>
      <c r="M131" s="109">
        <v>7.2610000000000001</v>
      </c>
      <c r="N131" s="109">
        <v>0.27600000000000002</v>
      </c>
      <c r="O131" s="114">
        <f t="shared" si="16"/>
        <v>28.272999999999996</v>
      </c>
    </row>
    <row r="132" spans="2:15" s="23" customFormat="1" hidden="1">
      <c r="B132" s="108" t="s">
        <v>238</v>
      </c>
      <c r="C132" s="109"/>
      <c r="D132" s="109"/>
      <c r="E132" s="109">
        <v>1.323</v>
      </c>
      <c r="F132" s="109"/>
      <c r="G132" s="109">
        <v>20.885999999999999</v>
      </c>
      <c r="H132" s="109">
        <v>0.90700000000000003</v>
      </c>
      <c r="I132" s="109">
        <v>23.632999999999999</v>
      </c>
      <c r="J132" s="109"/>
      <c r="K132" s="109">
        <v>1.1859999999999999</v>
      </c>
      <c r="L132" s="109">
        <v>9.0679999999999996</v>
      </c>
      <c r="M132" s="109"/>
      <c r="N132" s="109"/>
      <c r="O132" s="114">
        <f t="shared" si="16"/>
        <v>57.002999999999993</v>
      </c>
    </row>
    <row r="133" spans="2:15" s="23" customFormat="1" hidden="1">
      <c r="B133" s="108" t="s">
        <v>239</v>
      </c>
      <c r="C133" s="109"/>
      <c r="D133" s="109"/>
      <c r="E133" s="109">
        <v>6.5250000000000004</v>
      </c>
      <c r="F133" s="109"/>
      <c r="G133" s="109">
        <v>2.8610000000000002</v>
      </c>
      <c r="H133" s="109">
        <v>35.451999999999998</v>
      </c>
      <c r="I133" s="109">
        <v>0.39300000000000002</v>
      </c>
      <c r="J133" s="109"/>
      <c r="K133" s="109">
        <v>1.101</v>
      </c>
      <c r="L133" s="109">
        <v>1.9059999999999999</v>
      </c>
      <c r="M133" s="109">
        <v>7.1669999999999998</v>
      </c>
      <c r="N133" s="109"/>
      <c r="O133" s="114">
        <f t="shared" si="16"/>
        <v>55.405000000000001</v>
      </c>
    </row>
    <row r="134" spans="2:15" s="23" customFormat="1" hidden="1">
      <c r="B134" s="108" t="s">
        <v>240</v>
      </c>
      <c r="C134" s="109"/>
      <c r="D134" s="109"/>
      <c r="E134" s="109">
        <v>79.799000000000007</v>
      </c>
      <c r="F134" s="109"/>
      <c r="G134" s="109">
        <v>17.888999999999999</v>
      </c>
      <c r="H134" s="109"/>
      <c r="I134" s="109">
        <v>0.317</v>
      </c>
      <c r="J134" s="109"/>
      <c r="K134" s="109">
        <v>9.9969999999999999</v>
      </c>
      <c r="L134" s="109">
        <v>15.618</v>
      </c>
      <c r="M134" s="109"/>
      <c r="N134" s="109">
        <v>2.7080000000000002</v>
      </c>
      <c r="O134" s="114">
        <f t="shared" si="16"/>
        <v>126.32799999999999</v>
      </c>
    </row>
    <row r="135" spans="2:15" s="23" customFormat="1" hidden="1">
      <c r="B135" s="108" t="s">
        <v>241</v>
      </c>
      <c r="C135" s="109"/>
      <c r="D135" s="109"/>
      <c r="E135" s="109">
        <v>13.723000000000001</v>
      </c>
      <c r="F135" s="109"/>
      <c r="G135" s="109">
        <v>2.5000000000000001E-2</v>
      </c>
      <c r="H135" s="109"/>
      <c r="I135" s="109"/>
      <c r="J135" s="109"/>
      <c r="K135" s="109">
        <v>42.581000000000003</v>
      </c>
      <c r="L135" s="109">
        <v>1E-3</v>
      </c>
      <c r="M135" s="109"/>
      <c r="N135" s="109">
        <v>4.2000000000000003E-2</v>
      </c>
      <c r="O135" s="114">
        <f t="shared" si="16"/>
        <v>56.372000000000007</v>
      </c>
    </row>
    <row r="136" spans="2:15" s="23" customFormat="1" hidden="1">
      <c r="B136" s="108" t="s">
        <v>242</v>
      </c>
      <c r="C136" s="109"/>
      <c r="D136" s="109"/>
      <c r="E136" s="109"/>
      <c r="F136" s="109"/>
      <c r="G136" s="109"/>
      <c r="H136" s="109"/>
      <c r="I136" s="109">
        <v>8.1000000000000003E-2</v>
      </c>
      <c r="J136" s="109"/>
      <c r="K136" s="109">
        <v>57.106000000000002</v>
      </c>
      <c r="L136" s="109">
        <v>11.797000000000001</v>
      </c>
      <c r="M136" s="109"/>
      <c r="N136" s="109"/>
      <c r="O136" s="114">
        <f t="shared" si="16"/>
        <v>68.984000000000009</v>
      </c>
    </row>
    <row r="137" spans="2:15" s="23" customFormat="1" hidden="1">
      <c r="B137" s="108" t="s">
        <v>243</v>
      </c>
      <c r="C137" s="109"/>
      <c r="D137" s="109"/>
      <c r="E137" s="109">
        <v>3.0070000000000001</v>
      </c>
      <c r="F137" s="109"/>
      <c r="G137" s="109"/>
      <c r="H137" s="109">
        <v>0.66200000000000003</v>
      </c>
      <c r="I137" s="109"/>
      <c r="J137" s="109"/>
      <c r="K137" s="109">
        <v>0.65100000000000002</v>
      </c>
      <c r="L137" s="109">
        <v>0.23599999999999999</v>
      </c>
      <c r="M137" s="109"/>
      <c r="N137" s="109"/>
      <c r="O137" s="114">
        <f t="shared" si="16"/>
        <v>4.556</v>
      </c>
    </row>
    <row r="138" spans="2:15" s="23" customFormat="1" hidden="1">
      <c r="B138" s="108" t="s">
        <v>244</v>
      </c>
      <c r="C138" s="109"/>
      <c r="D138" s="109"/>
      <c r="E138" s="109">
        <v>1.4159999999999999</v>
      </c>
      <c r="F138" s="109"/>
      <c r="G138" s="109"/>
      <c r="H138" s="109"/>
      <c r="I138" s="109"/>
      <c r="J138" s="109"/>
      <c r="K138" s="109"/>
      <c r="L138" s="109">
        <v>2.4420000000000002</v>
      </c>
      <c r="M138" s="109"/>
      <c r="N138" s="109"/>
      <c r="O138" s="114">
        <f t="shared" si="16"/>
        <v>3.8580000000000001</v>
      </c>
    </row>
    <row r="139" spans="2:15" s="23" customFormat="1" hidden="1">
      <c r="B139" s="108" t="s">
        <v>245</v>
      </c>
      <c r="C139" s="109"/>
      <c r="D139" s="109"/>
      <c r="E139" s="109">
        <v>2.48</v>
      </c>
      <c r="F139" s="109"/>
      <c r="G139" s="109"/>
      <c r="H139" s="109"/>
      <c r="I139" s="109"/>
      <c r="J139" s="109"/>
      <c r="K139" s="109"/>
      <c r="L139" s="109">
        <v>0.61299999999999999</v>
      </c>
      <c r="M139" s="109"/>
      <c r="N139" s="109"/>
      <c r="O139" s="114">
        <f t="shared" si="16"/>
        <v>3.093</v>
      </c>
    </row>
    <row r="140" spans="2:15" s="23" customFormat="1" hidden="1">
      <c r="B140" s="108" t="s">
        <v>246</v>
      </c>
      <c r="C140" s="109"/>
      <c r="D140" s="109"/>
      <c r="E140" s="109">
        <v>3.9409999999999998</v>
      </c>
      <c r="F140" s="109">
        <v>1.9E-2</v>
      </c>
      <c r="G140" s="109"/>
      <c r="H140" s="109"/>
      <c r="I140" s="109"/>
      <c r="J140" s="109"/>
      <c r="K140" s="109"/>
      <c r="L140" s="109">
        <v>0.82599999999999996</v>
      </c>
      <c r="M140" s="109"/>
      <c r="N140" s="109"/>
      <c r="O140" s="114">
        <f t="shared" si="16"/>
        <v>4.7859999999999996</v>
      </c>
    </row>
    <row r="141" spans="2:15" s="23" customFormat="1" hidden="1">
      <c r="B141" s="108" t="s">
        <v>264</v>
      </c>
      <c r="C141" s="109"/>
      <c r="D141" s="109"/>
      <c r="E141" s="109"/>
      <c r="F141" s="109"/>
      <c r="G141" s="109">
        <v>5.0999999999999997E-2</v>
      </c>
      <c r="H141" s="109">
        <v>5.0000000000000001E-3</v>
      </c>
      <c r="I141" s="109"/>
      <c r="J141" s="109"/>
      <c r="K141" s="109"/>
      <c r="L141" s="109"/>
      <c r="M141" s="109"/>
      <c r="N141" s="109"/>
      <c r="O141" s="114">
        <f t="shared" si="16"/>
        <v>5.5999999999999994E-2</v>
      </c>
    </row>
    <row r="142" spans="2:15" s="30" customFormat="1" ht="25.5" hidden="1">
      <c r="B142" s="41" t="s">
        <v>161</v>
      </c>
      <c r="C142" s="29">
        <f t="shared" ref="C142:O142" si="17">SUM(C124:C141)</f>
        <v>0</v>
      </c>
      <c r="D142" s="29">
        <f t="shared" si="17"/>
        <v>0.66400000000000003</v>
      </c>
      <c r="E142" s="29">
        <f t="shared" si="17"/>
        <v>126.97000000000001</v>
      </c>
      <c r="F142" s="29">
        <f t="shared" si="17"/>
        <v>1.9E-2</v>
      </c>
      <c r="G142" s="29">
        <f t="shared" si="17"/>
        <v>58.002999999999993</v>
      </c>
      <c r="H142" s="29">
        <f t="shared" si="17"/>
        <v>75.341000000000008</v>
      </c>
      <c r="I142" s="29">
        <f t="shared" si="17"/>
        <v>37.223000000000006</v>
      </c>
      <c r="J142" s="29">
        <f t="shared" si="17"/>
        <v>5.7320000000000002</v>
      </c>
      <c r="K142" s="29">
        <f t="shared" si="17"/>
        <v>112.917</v>
      </c>
      <c r="L142" s="29">
        <f t="shared" si="17"/>
        <v>50.469000000000001</v>
      </c>
      <c r="M142" s="29">
        <f t="shared" si="17"/>
        <v>14.721</v>
      </c>
      <c r="N142" s="29">
        <f t="shared" si="17"/>
        <v>26.887999999999998</v>
      </c>
      <c r="O142" s="115">
        <f t="shared" si="17"/>
        <v>508.94699999999995</v>
      </c>
    </row>
    <row r="143" spans="2:15" s="30" customFormat="1" hidden="1">
      <c r="B143" s="116" t="s">
        <v>259</v>
      </c>
      <c r="C143" s="29">
        <f t="shared" ref="C143:O143" si="18">C142+C123</f>
        <v>0</v>
      </c>
      <c r="D143" s="29">
        <f t="shared" si="18"/>
        <v>0.66400000000000003</v>
      </c>
      <c r="E143" s="29">
        <f t="shared" si="18"/>
        <v>127.09500000000001</v>
      </c>
      <c r="F143" s="29">
        <f t="shared" si="18"/>
        <v>1.9E-2</v>
      </c>
      <c r="G143" s="29">
        <f t="shared" si="18"/>
        <v>113.09100000000001</v>
      </c>
      <c r="H143" s="29">
        <f t="shared" si="18"/>
        <v>75.59</v>
      </c>
      <c r="I143" s="29">
        <f t="shared" si="18"/>
        <v>37.223000000000006</v>
      </c>
      <c r="J143" s="29">
        <f t="shared" si="18"/>
        <v>5.7320000000000002</v>
      </c>
      <c r="K143" s="29">
        <f t="shared" si="18"/>
        <v>112.917</v>
      </c>
      <c r="L143" s="29">
        <f>L142+L123</f>
        <v>50.469000000000001</v>
      </c>
      <c r="M143" s="29">
        <f t="shared" si="18"/>
        <v>14.721</v>
      </c>
      <c r="N143" s="29">
        <f t="shared" si="18"/>
        <v>28.244</v>
      </c>
      <c r="O143" s="115">
        <f t="shared" si="18"/>
        <v>565.76499999999999</v>
      </c>
    </row>
    <row r="144" spans="2:15" s="23" customFormat="1" ht="18.75" customHeight="1">
      <c r="B144" s="117" t="s">
        <v>56</v>
      </c>
      <c r="C144" s="109"/>
      <c r="D144" s="109"/>
      <c r="E144" s="109"/>
      <c r="F144" s="109"/>
      <c r="G144" s="109">
        <v>0.05</v>
      </c>
      <c r="H144" s="109"/>
      <c r="I144" s="109"/>
      <c r="J144" s="109"/>
      <c r="K144" s="109"/>
      <c r="L144" s="109"/>
      <c r="M144" s="109"/>
      <c r="N144" s="109"/>
      <c r="O144" s="96">
        <f t="shared" ref="O144:O153" si="19">SUM(C144:N144)</f>
        <v>0.05</v>
      </c>
    </row>
    <row r="145" spans="2:15" s="23" customFormat="1" ht="18.75" customHeight="1">
      <c r="B145" s="95" t="s">
        <v>57</v>
      </c>
      <c r="C145" s="109"/>
      <c r="D145" s="109"/>
      <c r="E145" s="109"/>
      <c r="F145" s="109"/>
      <c r="G145" s="109">
        <v>0.45600000000000002</v>
      </c>
      <c r="H145" s="109"/>
      <c r="I145" s="109"/>
      <c r="J145" s="109"/>
      <c r="K145" s="109"/>
      <c r="L145" s="109"/>
      <c r="M145" s="109"/>
      <c r="N145" s="109"/>
      <c r="O145" s="96">
        <f t="shared" si="19"/>
        <v>0.45600000000000002</v>
      </c>
    </row>
    <row r="146" spans="2:15" s="23" customFormat="1" ht="18.75" customHeight="1">
      <c r="B146" s="95" t="s">
        <v>221</v>
      </c>
      <c r="C146" s="109"/>
      <c r="D146" s="109"/>
      <c r="E146" s="109">
        <v>0.126</v>
      </c>
      <c r="F146" s="109"/>
      <c r="G146" s="109"/>
      <c r="H146" s="109"/>
      <c r="I146" s="109"/>
      <c r="J146" s="109"/>
      <c r="K146" s="109"/>
      <c r="L146" s="109"/>
      <c r="M146" s="109"/>
      <c r="N146" s="109">
        <v>4.0000000000000001E-3</v>
      </c>
      <c r="O146" s="96">
        <f t="shared" si="19"/>
        <v>0.13</v>
      </c>
    </row>
    <row r="147" spans="2:15" s="23" customFormat="1" ht="18.75" customHeight="1">
      <c r="B147" s="95" t="s">
        <v>59</v>
      </c>
      <c r="C147" s="109"/>
      <c r="D147" s="109"/>
      <c r="E147" s="109"/>
      <c r="F147" s="109"/>
      <c r="G147" s="109">
        <v>0.115</v>
      </c>
      <c r="H147" s="109"/>
      <c r="I147" s="109"/>
      <c r="J147" s="109"/>
      <c r="K147" s="109"/>
      <c r="L147" s="109"/>
      <c r="M147" s="109"/>
      <c r="N147" s="109"/>
      <c r="O147" s="96">
        <f t="shared" si="19"/>
        <v>0.115</v>
      </c>
    </row>
    <row r="148" spans="2:15" s="23" customFormat="1" ht="18.75" customHeight="1">
      <c r="B148" s="95" t="s">
        <v>60</v>
      </c>
      <c r="C148" s="109"/>
      <c r="D148" s="109"/>
      <c r="E148" s="109"/>
      <c r="F148" s="109"/>
      <c r="G148" s="109">
        <v>1.5660000000000001</v>
      </c>
      <c r="H148" s="109">
        <v>0.31</v>
      </c>
      <c r="I148" s="109"/>
      <c r="J148" s="109"/>
      <c r="K148" s="109"/>
      <c r="L148" s="109"/>
      <c r="M148" s="109"/>
      <c r="N148" s="109">
        <v>0.35199999999999998</v>
      </c>
      <c r="O148" s="96">
        <f t="shared" si="19"/>
        <v>2.2280000000000002</v>
      </c>
    </row>
    <row r="149" spans="2:15" s="23" customFormat="1" ht="18.75" customHeight="1">
      <c r="B149" s="95" t="s">
        <v>61</v>
      </c>
      <c r="C149" s="109"/>
      <c r="D149" s="109"/>
      <c r="E149" s="109"/>
      <c r="F149" s="109"/>
      <c r="G149" s="109">
        <v>12.111000000000001</v>
      </c>
      <c r="H149" s="109"/>
      <c r="I149" s="109"/>
      <c r="J149" s="109"/>
      <c r="K149" s="109"/>
      <c r="L149" s="109"/>
      <c r="M149" s="109"/>
      <c r="N149" s="109">
        <v>0.224</v>
      </c>
      <c r="O149" s="96">
        <f t="shared" si="19"/>
        <v>12.335000000000001</v>
      </c>
    </row>
    <row r="150" spans="2:15" s="23" customFormat="1" ht="18.75" customHeight="1">
      <c r="B150" s="95" t="s">
        <v>62</v>
      </c>
      <c r="C150" s="109"/>
      <c r="D150" s="109"/>
      <c r="E150" s="109"/>
      <c r="F150" s="109"/>
      <c r="G150" s="109">
        <v>42.131999999999998</v>
      </c>
      <c r="H150" s="109"/>
      <c r="I150" s="109"/>
      <c r="J150" s="109"/>
      <c r="K150" s="109"/>
      <c r="L150" s="109"/>
      <c r="M150" s="109"/>
      <c r="N150" s="109"/>
      <c r="O150" s="96">
        <f t="shared" si="19"/>
        <v>42.131999999999998</v>
      </c>
    </row>
    <row r="151" spans="2:15" s="23" customFormat="1" ht="18.75" customHeight="1">
      <c r="B151" s="95" t="s">
        <v>123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96">
        <f t="shared" si="19"/>
        <v>0</v>
      </c>
    </row>
    <row r="152" spans="2:15" s="23" customFormat="1" ht="18.75" customHeight="1">
      <c r="B152" s="97" t="s">
        <v>63</v>
      </c>
      <c r="C152" s="98"/>
      <c r="D152" s="98"/>
      <c r="E152" s="98"/>
      <c r="F152" s="98"/>
      <c r="G152" s="98">
        <v>13.118</v>
      </c>
      <c r="H152" s="98">
        <v>0.31</v>
      </c>
      <c r="I152" s="98"/>
      <c r="J152" s="98"/>
      <c r="K152" s="98"/>
      <c r="L152" s="98"/>
      <c r="M152" s="98"/>
      <c r="N152" s="98">
        <v>0.35599999999999998</v>
      </c>
      <c r="O152" s="99">
        <f t="shared" si="19"/>
        <v>13.784000000000001</v>
      </c>
    </row>
    <row r="153" spans="2:15" s="23" customFormat="1" ht="18.75" customHeight="1">
      <c r="B153" s="95" t="s">
        <v>64</v>
      </c>
      <c r="C153" s="24">
        <f>C154-C152</f>
        <v>0</v>
      </c>
      <c r="D153" s="24">
        <f>D154-D152</f>
        <v>0</v>
      </c>
      <c r="E153" s="24">
        <f>E154-E152</f>
        <v>0.126</v>
      </c>
      <c r="F153" s="24">
        <f t="shared" ref="F153:M153" si="20">F154-F152</f>
        <v>0</v>
      </c>
      <c r="G153" s="24">
        <f>G154-G152</f>
        <v>43.311999999999998</v>
      </c>
      <c r="H153" s="24">
        <f>H154-H152</f>
        <v>0</v>
      </c>
      <c r="I153" s="24">
        <f t="shared" si="20"/>
        <v>0</v>
      </c>
      <c r="J153" s="24">
        <f t="shared" si="20"/>
        <v>0</v>
      </c>
      <c r="K153" s="24">
        <f t="shared" si="20"/>
        <v>0</v>
      </c>
      <c r="L153" s="24">
        <f>L154-L152</f>
        <v>0</v>
      </c>
      <c r="M153" s="24">
        <f t="shared" si="20"/>
        <v>0</v>
      </c>
      <c r="N153" s="24">
        <f>N154-N152</f>
        <v>0.22399999999999998</v>
      </c>
      <c r="O153" s="96">
        <f t="shared" si="19"/>
        <v>43.661999999999992</v>
      </c>
    </row>
    <row r="154" spans="2:15" s="30" customFormat="1" ht="26.65" customHeight="1">
      <c r="B154" s="118" t="s">
        <v>146</v>
      </c>
      <c r="C154" s="99">
        <f t="shared" ref="C154:O154" si="21">SUM(C144:C151)</f>
        <v>0</v>
      </c>
      <c r="D154" s="99">
        <f t="shared" si="21"/>
        <v>0</v>
      </c>
      <c r="E154" s="99">
        <f t="shared" si="21"/>
        <v>0.126</v>
      </c>
      <c r="F154" s="99">
        <f t="shared" si="21"/>
        <v>0</v>
      </c>
      <c r="G154" s="99">
        <f t="shared" si="21"/>
        <v>56.43</v>
      </c>
      <c r="H154" s="99">
        <f t="shared" si="21"/>
        <v>0.31</v>
      </c>
      <c r="I154" s="99">
        <f t="shared" si="21"/>
        <v>0</v>
      </c>
      <c r="J154" s="99">
        <f t="shared" si="21"/>
        <v>0</v>
      </c>
      <c r="K154" s="99">
        <f t="shared" si="21"/>
        <v>0</v>
      </c>
      <c r="L154" s="99">
        <f>SUM(L144:L151)</f>
        <v>0</v>
      </c>
      <c r="M154" s="99">
        <f t="shared" si="21"/>
        <v>0</v>
      </c>
      <c r="N154" s="99">
        <f t="shared" si="21"/>
        <v>0.57999999999999996</v>
      </c>
      <c r="O154" s="99">
        <f t="shared" si="21"/>
        <v>57.445999999999998</v>
      </c>
    </row>
    <row r="155" spans="2:15" s="23" customFormat="1" ht="18.75" customHeight="1">
      <c r="B155" s="95" t="s">
        <v>230</v>
      </c>
      <c r="C155" s="109"/>
      <c r="D155" s="109">
        <v>0.216</v>
      </c>
      <c r="E155" s="109"/>
      <c r="F155" s="109"/>
      <c r="G155" s="109"/>
      <c r="H155" s="109"/>
      <c r="I155" s="109"/>
      <c r="J155" s="109">
        <v>2.524</v>
      </c>
      <c r="K155" s="109"/>
      <c r="L155" s="109"/>
      <c r="M155" s="109"/>
      <c r="N155" s="109"/>
      <c r="O155" s="119">
        <f t="shared" ref="O155:O172" si="22">SUM(C155:N155)</f>
        <v>2.74</v>
      </c>
    </row>
    <row r="156" spans="2:15" s="23" customFormat="1" ht="18.75" customHeight="1">
      <c r="B156" s="95" t="s">
        <v>231</v>
      </c>
      <c r="C156" s="109"/>
      <c r="D156" s="109">
        <v>0.437</v>
      </c>
      <c r="E156" s="109"/>
      <c r="F156" s="109"/>
      <c r="G156" s="109">
        <v>3.7999999999999999E-2</v>
      </c>
      <c r="H156" s="109"/>
      <c r="I156" s="109"/>
      <c r="J156" s="109"/>
      <c r="K156" s="109"/>
      <c r="L156" s="109"/>
      <c r="M156" s="109"/>
      <c r="N156" s="109">
        <v>0.09</v>
      </c>
      <c r="O156" s="119">
        <f t="shared" si="22"/>
        <v>0.56499999999999995</v>
      </c>
    </row>
    <row r="157" spans="2:15" s="23" customFormat="1" ht="18.75" customHeight="1">
      <c r="B157" s="95" t="s">
        <v>232</v>
      </c>
      <c r="C157" s="109"/>
      <c r="D157" s="109"/>
      <c r="E157" s="109">
        <v>1.8360000000000001</v>
      </c>
      <c r="F157" s="109"/>
      <c r="G157" s="109">
        <v>0.44600000000000001</v>
      </c>
      <c r="H157" s="109">
        <v>1.9350000000000001</v>
      </c>
      <c r="I157" s="109"/>
      <c r="J157" s="109"/>
      <c r="K157" s="109"/>
      <c r="L157" s="109"/>
      <c r="M157" s="109"/>
      <c r="N157" s="109">
        <v>1.252</v>
      </c>
      <c r="O157" s="119">
        <f t="shared" si="22"/>
        <v>5.4690000000000003</v>
      </c>
    </row>
    <row r="158" spans="2:15" s="23" customFormat="1" ht="18.75" customHeight="1">
      <c r="B158" s="95" t="s">
        <v>233</v>
      </c>
      <c r="C158" s="109"/>
      <c r="D158" s="109">
        <v>0.126</v>
      </c>
      <c r="E158" s="109">
        <v>2.2250000000000001</v>
      </c>
      <c r="F158" s="109"/>
      <c r="G158" s="109">
        <v>0.28499999999999998</v>
      </c>
      <c r="H158" s="109">
        <v>1.502</v>
      </c>
      <c r="I158" s="109"/>
      <c r="J158" s="109"/>
      <c r="K158" s="109"/>
      <c r="L158" s="109"/>
      <c r="M158" s="109"/>
      <c r="N158" s="109">
        <v>14.887</v>
      </c>
      <c r="O158" s="119">
        <f t="shared" si="22"/>
        <v>19.024999999999999</v>
      </c>
    </row>
    <row r="159" spans="2:15" s="23" customFormat="1" ht="18.75" customHeight="1">
      <c r="B159" s="95" t="s">
        <v>234</v>
      </c>
      <c r="C159" s="109"/>
      <c r="D159" s="109"/>
      <c r="E159" s="109">
        <v>4.4059999999999997</v>
      </c>
      <c r="F159" s="109"/>
      <c r="G159" s="109">
        <v>3.2250000000000001</v>
      </c>
      <c r="H159" s="109">
        <v>2.298</v>
      </c>
      <c r="I159" s="109">
        <v>0.19500000000000001</v>
      </c>
      <c r="J159" s="109"/>
      <c r="K159" s="109">
        <v>0.1</v>
      </c>
      <c r="L159" s="109">
        <v>0.74</v>
      </c>
      <c r="M159" s="109">
        <v>8.2000000000000003E-2</v>
      </c>
      <c r="N159" s="109">
        <v>3.7429999999999999</v>
      </c>
      <c r="O159" s="119">
        <f t="shared" si="22"/>
        <v>14.789000000000001</v>
      </c>
    </row>
    <row r="160" spans="2:15" s="23" customFormat="1" ht="18.75" customHeight="1">
      <c r="B160" s="95" t="s">
        <v>235</v>
      </c>
      <c r="C160" s="109"/>
      <c r="D160" s="109"/>
      <c r="E160" s="109">
        <v>3.03</v>
      </c>
      <c r="F160" s="109"/>
      <c r="G160" s="109">
        <v>9.6509999999999998</v>
      </c>
      <c r="H160" s="109">
        <v>5.96</v>
      </c>
      <c r="I160" s="109">
        <v>0.67</v>
      </c>
      <c r="J160" s="109"/>
      <c r="K160" s="109"/>
      <c r="L160" s="109"/>
      <c r="M160" s="109">
        <v>0.20200000000000001</v>
      </c>
      <c r="N160" s="109">
        <v>3.1669999999999998</v>
      </c>
      <c r="O160" s="119">
        <f t="shared" si="22"/>
        <v>22.68</v>
      </c>
    </row>
    <row r="161" spans="2:15" s="23" customFormat="1" ht="18.75" customHeight="1">
      <c r="B161" s="95" t="s">
        <v>236</v>
      </c>
      <c r="C161" s="109"/>
      <c r="D161" s="109"/>
      <c r="E161" s="109">
        <v>0.76500000000000001</v>
      </c>
      <c r="F161" s="109"/>
      <c r="G161" s="109">
        <v>4.0309999999999997</v>
      </c>
      <c r="H161" s="109">
        <v>22.722999999999999</v>
      </c>
      <c r="I161" s="109">
        <v>0.86599999999999999</v>
      </c>
      <c r="J161" s="109"/>
      <c r="K161" s="109"/>
      <c r="L161" s="109">
        <v>7.0510000000000002</v>
      </c>
      <c r="M161" s="109"/>
      <c r="N161" s="109">
        <v>2.4020000000000001</v>
      </c>
      <c r="O161" s="119">
        <f t="shared" si="22"/>
        <v>37.838000000000001</v>
      </c>
    </row>
    <row r="162" spans="2:15" s="23" customFormat="1" ht="18.75" customHeight="1">
      <c r="B162" s="95" t="s">
        <v>237</v>
      </c>
      <c r="C162" s="109"/>
      <c r="D162" s="109"/>
      <c r="E162" s="109">
        <v>1.7430000000000001</v>
      </c>
      <c r="F162" s="109"/>
      <c r="G162" s="109">
        <v>5.4240000000000004</v>
      </c>
      <c r="H162" s="109">
        <v>3.8820000000000001</v>
      </c>
      <c r="I162" s="109">
        <v>9.8729999999999993</v>
      </c>
      <c r="J162" s="109"/>
      <c r="K162" s="109">
        <v>0.14899999999999999</v>
      </c>
      <c r="L162" s="109">
        <v>1.458</v>
      </c>
      <c r="M162" s="109">
        <v>7.7329999999999997</v>
      </c>
      <c r="N162" s="109">
        <v>0.26100000000000001</v>
      </c>
      <c r="O162" s="119">
        <f t="shared" si="22"/>
        <v>30.523</v>
      </c>
    </row>
    <row r="163" spans="2:15" s="23" customFormat="1" ht="18.75" customHeight="1">
      <c r="B163" s="95" t="s">
        <v>238</v>
      </c>
      <c r="C163" s="109"/>
      <c r="D163" s="109"/>
      <c r="E163" s="109">
        <v>1.8819999999999999</v>
      </c>
      <c r="F163" s="109"/>
      <c r="G163" s="109">
        <v>13.733000000000001</v>
      </c>
      <c r="H163" s="109">
        <v>1.0329999999999999</v>
      </c>
      <c r="I163" s="109">
        <v>24.661000000000001</v>
      </c>
      <c r="J163" s="109"/>
      <c r="K163" s="109">
        <v>1.0269999999999999</v>
      </c>
      <c r="L163" s="109">
        <v>10.228999999999999</v>
      </c>
      <c r="M163" s="109"/>
      <c r="N163" s="109">
        <v>0.13900000000000001</v>
      </c>
      <c r="O163" s="119">
        <f t="shared" si="22"/>
        <v>52.704000000000001</v>
      </c>
    </row>
    <row r="164" spans="2:15" s="23" customFormat="1" ht="18.75" customHeight="1">
      <c r="B164" s="95" t="s">
        <v>239</v>
      </c>
      <c r="C164" s="109"/>
      <c r="D164" s="109"/>
      <c r="E164" s="109">
        <v>1.2070000000000001</v>
      </c>
      <c r="F164" s="109"/>
      <c r="G164" s="109">
        <v>8.2710000000000008</v>
      </c>
      <c r="H164" s="109">
        <v>44.277000000000001</v>
      </c>
      <c r="I164" s="109">
        <v>1.7629999999999999</v>
      </c>
      <c r="J164" s="109"/>
      <c r="K164" s="109">
        <v>0.41</v>
      </c>
      <c r="L164" s="109">
        <v>1.5429999999999999</v>
      </c>
      <c r="M164" s="109">
        <v>6.94</v>
      </c>
      <c r="N164" s="109"/>
      <c r="O164" s="119">
        <f t="shared" si="22"/>
        <v>64.411000000000001</v>
      </c>
    </row>
    <row r="165" spans="2:15" s="23" customFormat="1" ht="18.75" customHeight="1">
      <c r="B165" s="95" t="s">
        <v>240</v>
      </c>
      <c r="C165" s="109"/>
      <c r="D165" s="109"/>
      <c r="E165" s="109">
        <v>93.346000000000004</v>
      </c>
      <c r="F165" s="109"/>
      <c r="G165" s="109">
        <v>6.3789999999999996</v>
      </c>
      <c r="H165" s="109">
        <v>2.9279999999999999</v>
      </c>
      <c r="I165" s="109">
        <v>0.19800000000000001</v>
      </c>
      <c r="J165" s="109"/>
      <c r="K165" s="109">
        <v>8.5280000000000005</v>
      </c>
      <c r="L165" s="109">
        <v>15.875</v>
      </c>
      <c r="M165" s="109"/>
      <c r="N165" s="109">
        <v>3.4489999999999998</v>
      </c>
      <c r="O165" s="119">
        <f t="shared" si="22"/>
        <v>130.703</v>
      </c>
    </row>
    <row r="166" spans="2:15" s="23" customFormat="1" ht="18.75" customHeight="1">
      <c r="B166" s="95" t="s">
        <v>241</v>
      </c>
      <c r="C166" s="109"/>
      <c r="D166" s="109"/>
      <c r="E166" s="109">
        <v>13.859</v>
      </c>
      <c r="F166" s="109"/>
      <c r="G166" s="109">
        <v>0.42299999999999999</v>
      </c>
      <c r="H166" s="109"/>
      <c r="I166" s="109">
        <v>3.1E-2</v>
      </c>
      <c r="J166" s="109"/>
      <c r="K166" s="109">
        <v>64.509</v>
      </c>
      <c r="L166" s="109">
        <v>0.34699999999999998</v>
      </c>
      <c r="M166" s="109"/>
      <c r="N166" s="109"/>
      <c r="O166" s="119">
        <f t="shared" si="22"/>
        <v>79.168999999999997</v>
      </c>
    </row>
    <row r="167" spans="2:15" s="23" customFormat="1" ht="18.75" customHeight="1">
      <c r="B167" s="95" t="s">
        <v>242</v>
      </c>
      <c r="C167" s="109"/>
      <c r="D167" s="109"/>
      <c r="E167" s="109">
        <v>0.26700000000000002</v>
      </c>
      <c r="F167" s="109"/>
      <c r="G167" s="109">
        <v>15.782999999999999</v>
      </c>
      <c r="H167" s="109"/>
      <c r="I167" s="109"/>
      <c r="J167" s="109"/>
      <c r="K167" s="109">
        <v>48.161999999999999</v>
      </c>
      <c r="L167" s="109">
        <v>12.135999999999999</v>
      </c>
      <c r="M167" s="109"/>
      <c r="N167" s="109"/>
      <c r="O167" s="119">
        <f t="shared" si="22"/>
        <v>76.347999999999999</v>
      </c>
    </row>
    <row r="168" spans="2:15" s="23" customFormat="1" ht="18.75" customHeight="1">
      <c r="B168" s="95" t="s">
        <v>243</v>
      </c>
      <c r="C168" s="109"/>
      <c r="D168" s="109"/>
      <c r="E168" s="109">
        <v>3.4609999999999999</v>
      </c>
      <c r="F168" s="109"/>
      <c r="G168" s="109"/>
      <c r="H168" s="109">
        <v>0.76100000000000001</v>
      </c>
      <c r="I168" s="109"/>
      <c r="J168" s="109"/>
      <c r="K168" s="109">
        <v>0.74199999999999999</v>
      </c>
      <c r="L168" s="109">
        <v>0.09</v>
      </c>
      <c r="M168" s="109"/>
      <c r="N168" s="109"/>
      <c r="O168" s="119">
        <f t="shared" si="22"/>
        <v>5.0539999999999994</v>
      </c>
    </row>
    <row r="169" spans="2:15" s="23" customFormat="1" ht="18.75" customHeight="1">
      <c r="B169" s="95" t="s">
        <v>244</v>
      </c>
      <c r="C169" s="109"/>
      <c r="D169" s="109"/>
      <c r="E169" s="109">
        <v>2.0219999999999998</v>
      </c>
      <c r="F169" s="109"/>
      <c r="G169" s="109"/>
      <c r="H169" s="109"/>
      <c r="I169" s="109"/>
      <c r="J169" s="109"/>
      <c r="K169" s="109"/>
      <c r="L169" s="109">
        <v>1.784</v>
      </c>
      <c r="M169" s="109"/>
      <c r="N169" s="109"/>
      <c r="O169" s="119">
        <f t="shared" si="22"/>
        <v>3.806</v>
      </c>
    </row>
    <row r="170" spans="2:15" s="23" customFormat="1" ht="18.75" customHeight="1">
      <c r="B170" s="95" t="s">
        <v>245</v>
      </c>
      <c r="C170" s="109"/>
      <c r="D170" s="109"/>
      <c r="E170" s="109">
        <v>1.8140000000000001</v>
      </c>
      <c r="F170" s="109"/>
      <c r="G170" s="109"/>
      <c r="H170" s="109"/>
      <c r="I170" s="109"/>
      <c r="J170" s="109"/>
      <c r="K170" s="109"/>
      <c r="L170" s="109">
        <v>0.81299999999999994</v>
      </c>
      <c r="M170" s="109"/>
      <c r="N170" s="109"/>
      <c r="O170" s="119">
        <f t="shared" si="22"/>
        <v>2.6269999999999998</v>
      </c>
    </row>
    <row r="171" spans="2:15" s="23" customFormat="1" ht="18.75" customHeight="1">
      <c r="B171" s="95" t="s">
        <v>246</v>
      </c>
      <c r="C171" s="109"/>
      <c r="D171" s="109"/>
      <c r="E171" s="109">
        <v>2.7749999999999999</v>
      </c>
      <c r="F171" s="109">
        <v>1.2999999999999999E-2</v>
      </c>
      <c r="G171" s="109"/>
      <c r="H171" s="109"/>
      <c r="I171" s="109"/>
      <c r="J171" s="109"/>
      <c r="K171" s="109"/>
      <c r="L171" s="109">
        <v>0.47</v>
      </c>
      <c r="M171" s="109"/>
      <c r="N171" s="109"/>
      <c r="O171" s="119">
        <f t="shared" si="22"/>
        <v>3.258</v>
      </c>
    </row>
    <row r="172" spans="2:15" s="23" customFormat="1" ht="18.75" customHeight="1">
      <c r="B172" s="120" t="s">
        <v>289</v>
      </c>
      <c r="C172" s="121"/>
      <c r="D172" s="121"/>
      <c r="E172" s="121"/>
      <c r="F172" s="121"/>
      <c r="G172" s="121">
        <v>2.4E-2</v>
      </c>
      <c r="H172" s="121"/>
      <c r="I172" s="121"/>
      <c r="J172" s="121"/>
      <c r="K172" s="121"/>
      <c r="L172" s="121"/>
      <c r="M172" s="121"/>
      <c r="N172" s="121"/>
      <c r="O172" s="122">
        <f t="shared" si="22"/>
        <v>2.4E-2</v>
      </c>
    </row>
    <row r="173" spans="2:15" s="30" customFormat="1" ht="31.9" customHeight="1">
      <c r="B173" s="118" t="s">
        <v>161</v>
      </c>
      <c r="C173" s="122">
        <f t="shared" ref="C173:O173" si="23">SUM(C155:C172)</f>
        <v>0</v>
      </c>
      <c r="D173" s="122">
        <f t="shared" si="23"/>
        <v>0.77900000000000003</v>
      </c>
      <c r="E173" s="122">
        <f t="shared" si="23"/>
        <v>134.63799999999998</v>
      </c>
      <c r="F173" s="122">
        <f t="shared" si="23"/>
        <v>1.2999999999999999E-2</v>
      </c>
      <c r="G173" s="122">
        <f t="shared" si="23"/>
        <v>67.712999999999994</v>
      </c>
      <c r="H173" s="122">
        <f t="shared" si="23"/>
        <v>87.298999999999992</v>
      </c>
      <c r="I173" s="122">
        <f t="shared" si="23"/>
        <v>38.256999999999998</v>
      </c>
      <c r="J173" s="122">
        <f t="shared" si="23"/>
        <v>2.524</v>
      </c>
      <c r="K173" s="122">
        <f t="shared" si="23"/>
        <v>123.627</v>
      </c>
      <c r="L173" s="122">
        <f t="shared" si="23"/>
        <v>52.536000000000008</v>
      </c>
      <c r="M173" s="122">
        <f t="shared" si="23"/>
        <v>14.957000000000001</v>
      </c>
      <c r="N173" s="122">
        <f t="shared" si="23"/>
        <v>29.389999999999993</v>
      </c>
      <c r="O173" s="29">
        <f t="shared" si="23"/>
        <v>551.73299999999995</v>
      </c>
    </row>
    <row r="174" spans="2:15" s="30" customFormat="1" ht="24.75" customHeight="1" thickBot="1">
      <c r="B174" s="123" t="s">
        <v>282</v>
      </c>
      <c r="C174" s="31">
        <f t="shared" ref="C174:O174" si="24">C173+C154</f>
        <v>0</v>
      </c>
      <c r="D174" s="31">
        <f t="shared" si="24"/>
        <v>0.77900000000000003</v>
      </c>
      <c r="E174" s="31">
        <f t="shared" si="24"/>
        <v>134.76399999999998</v>
      </c>
      <c r="F174" s="31">
        <f t="shared" si="24"/>
        <v>1.2999999999999999E-2</v>
      </c>
      <c r="G174" s="31">
        <f t="shared" si="24"/>
        <v>124.143</v>
      </c>
      <c r="H174" s="31">
        <f t="shared" si="24"/>
        <v>87.608999999999995</v>
      </c>
      <c r="I174" s="31">
        <f t="shared" si="24"/>
        <v>38.256999999999998</v>
      </c>
      <c r="J174" s="31">
        <f t="shared" si="24"/>
        <v>2.524</v>
      </c>
      <c r="K174" s="31">
        <f t="shared" si="24"/>
        <v>123.627</v>
      </c>
      <c r="L174" s="31">
        <f>L173+L154</f>
        <v>52.536000000000008</v>
      </c>
      <c r="M174" s="31">
        <f t="shared" si="24"/>
        <v>14.957000000000001</v>
      </c>
      <c r="N174" s="31">
        <f t="shared" si="24"/>
        <v>29.969999999999992</v>
      </c>
      <c r="O174" s="31">
        <f t="shared" si="24"/>
        <v>609.17899999999997</v>
      </c>
    </row>
    <row r="175" spans="2:15" ht="20.25" customHeight="1" thickTop="1">
      <c r="B175" s="124" t="s">
        <v>228</v>
      </c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125"/>
    </row>
  </sheetData>
  <printOptions horizontalCentered="1"/>
  <pageMargins left="0.25" right="0.25" top="0.75" bottom="0.75" header="0.3" footer="0.3"/>
  <pageSetup paperSize="9" scale="88" firstPageNumber="21" orientation="portrait" useFirstPageNumber="1" r:id="rId1"/>
  <headerFooter scaleWithDoc="0" alignWithMargins="0">
    <oddFooter>&amp;C3.&amp;P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>
    <tabColor rgb="FF00B050"/>
  </sheetPr>
  <dimension ref="A1:Q57"/>
  <sheetViews>
    <sheetView zoomScaleNormal="100" zoomScaleSheetLayoutView="66" workbookViewId="0">
      <selection activeCell="Q57" sqref="Q57"/>
    </sheetView>
  </sheetViews>
  <sheetFormatPr defaultColWidth="9.140625" defaultRowHeight="12.75"/>
  <cols>
    <col min="1" max="1" width="8.5703125" style="204" bestFit="1" customWidth="1"/>
    <col min="2" max="2" width="8.42578125" style="206" customWidth="1"/>
    <col min="3" max="12" width="7.85546875" style="205" customWidth="1"/>
    <col min="13" max="13" width="6.85546875" style="171" customWidth="1"/>
    <col min="14" max="14" width="13.140625" style="171" customWidth="1"/>
    <col min="15" max="15" width="9.140625" style="171"/>
    <col min="16" max="16" width="8.7109375" style="171" customWidth="1"/>
    <col min="17" max="16384" width="9.140625" style="171"/>
  </cols>
  <sheetData>
    <row r="1" spans="1:12" ht="20.45" customHeight="1">
      <c r="A1" s="1556" t="s">
        <v>490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8"/>
    </row>
    <row r="2" spans="1:12" ht="15" customHeight="1">
      <c r="A2" s="1586" t="s">
        <v>417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8"/>
    </row>
    <row r="3" spans="1:12" s="168" customFormat="1" ht="22.5" customHeight="1">
      <c r="A3" s="1148" t="s">
        <v>148</v>
      </c>
      <c r="B3" s="1144" t="s">
        <v>150</v>
      </c>
      <c r="C3" s="1193" t="s">
        <v>293</v>
      </c>
      <c r="D3" s="1193" t="s">
        <v>301</v>
      </c>
      <c r="E3" s="1193" t="s">
        <v>309</v>
      </c>
      <c r="F3" s="1193" t="s">
        <v>319</v>
      </c>
      <c r="G3" s="1193" t="s">
        <v>332</v>
      </c>
      <c r="H3" s="1193" t="s">
        <v>345</v>
      </c>
      <c r="I3" s="1193" t="s">
        <v>418</v>
      </c>
      <c r="J3" s="1193" t="s">
        <v>431</v>
      </c>
      <c r="K3" s="1193" t="s">
        <v>504</v>
      </c>
      <c r="L3" s="1193" t="s">
        <v>538</v>
      </c>
    </row>
    <row r="4" spans="1:12" s="168" customFormat="1" ht="15" customHeight="1">
      <c r="A4" s="1066" t="s">
        <v>162</v>
      </c>
      <c r="B4" s="1074">
        <v>-2</v>
      </c>
      <c r="C4" s="1074">
        <v>-3</v>
      </c>
      <c r="D4" s="1074">
        <v>-4</v>
      </c>
      <c r="E4" s="1074">
        <v>-5</v>
      </c>
      <c r="F4" s="1074">
        <v>-6</v>
      </c>
      <c r="G4" s="1074">
        <v>-7</v>
      </c>
      <c r="H4" s="1075" t="s">
        <v>169</v>
      </c>
      <c r="I4" s="1075" t="s">
        <v>170</v>
      </c>
      <c r="J4" s="1075" t="s">
        <v>171</v>
      </c>
      <c r="K4" s="1075" t="s">
        <v>172</v>
      </c>
      <c r="L4" s="1075" t="s">
        <v>173</v>
      </c>
    </row>
    <row r="5" spans="1:12" s="168" customFormat="1" ht="15.75" customHeight="1">
      <c r="A5" s="1715" t="s">
        <v>347</v>
      </c>
      <c r="B5" s="263" t="s">
        <v>56</v>
      </c>
      <c r="C5" s="1142">
        <v>3.6999999999999998E-2</v>
      </c>
      <c r="D5" s="692">
        <v>2.3E-2</v>
      </c>
      <c r="E5" s="692">
        <v>0.155</v>
      </c>
      <c r="F5" s="692">
        <v>3.5000000000000003E-2</v>
      </c>
      <c r="G5" s="692">
        <v>1.7999999999999999E-2</v>
      </c>
      <c r="H5" s="692">
        <v>1E-3</v>
      </c>
      <c r="I5" s="692">
        <v>0.22500000000000001</v>
      </c>
      <c r="J5" s="692">
        <v>0</v>
      </c>
      <c r="K5" s="692">
        <v>0</v>
      </c>
      <c r="L5" s="693">
        <v>0</v>
      </c>
    </row>
    <row r="6" spans="1:12" s="168" customFormat="1" ht="15.75" customHeight="1">
      <c r="A6" s="1716"/>
      <c r="B6" s="261" t="s">
        <v>57</v>
      </c>
      <c r="C6" s="1141">
        <v>1.0509999999999999</v>
      </c>
      <c r="D6" s="601">
        <v>1.004</v>
      </c>
      <c r="E6" s="601">
        <v>5.0999999999999997E-2</v>
      </c>
      <c r="F6" s="601">
        <v>0</v>
      </c>
      <c r="G6" s="601">
        <v>0.13200000000000001</v>
      </c>
      <c r="H6" s="601">
        <v>8.0000000000000002E-3</v>
      </c>
      <c r="I6" s="601">
        <v>0</v>
      </c>
      <c r="J6" s="601">
        <v>6.2E-2</v>
      </c>
      <c r="K6" s="601">
        <v>9.8000000000000004E-2</v>
      </c>
      <c r="L6" s="694">
        <v>0.15332499999999999</v>
      </c>
    </row>
    <row r="7" spans="1:12" s="168" customFormat="1" ht="15.75" customHeight="1">
      <c r="A7" s="1716"/>
      <c r="B7" s="261" t="s">
        <v>58</v>
      </c>
      <c r="C7" s="1141">
        <v>0.13500000000000001</v>
      </c>
      <c r="D7" s="601">
        <v>0.11</v>
      </c>
      <c r="E7" s="601">
        <v>0.182</v>
      </c>
      <c r="F7" s="601">
        <v>0.247</v>
      </c>
      <c r="G7" s="601">
        <v>0.25</v>
      </c>
      <c r="H7" s="601">
        <v>0.219</v>
      </c>
      <c r="I7" s="601">
        <v>0</v>
      </c>
      <c r="J7" s="601">
        <v>0.247</v>
      </c>
      <c r="K7" s="601">
        <v>0.216</v>
      </c>
      <c r="L7" s="694">
        <v>0.22267000000000001</v>
      </c>
    </row>
    <row r="8" spans="1:12" s="168" customFormat="1" ht="15.75" customHeight="1">
      <c r="A8" s="1716"/>
      <c r="B8" s="261" t="s">
        <v>59</v>
      </c>
      <c r="C8" s="1141">
        <v>0.41499999999999998</v>
      </c>
      <c r="D8" s="601">
        <v>0.315</v>
      </c>
      <c r="E8" s="601">
        <v>0.17599999999999999</v>
      </c>
      <c r="F8" s="601">
        <v>5.8000000000000003E-2</v>
      </c>
      <c r="G8" s="601">
        <v>0.13600000000000001</v>
      </c>
      <c r="H8" s="601">
        <v>0.20200000000000001</v>
      </c>
      <c r="I8" s="601">
        <v>0.23419999999999999</v>
      </c>
      <c r="J8" s="601">
        <v>0.17100000000000001</v>
      </c>
      <c r="K8" s="601">
        <v>1.2270000000000001</v>
      </c>
      <c r="L8" s="694">
        <v>1.5995553300000001</v>
      </c>
    </row>
    <row r="9" spans="1:12" s="168" customFormat="1" ht="15.75" customHeight="1">
      <c r="A9" s="1716"/>
      <c r="B9" s="261" t="s">
        <v>60</v>
      </c>
      <c r="C9" s="1141">
        <v>2.4929999999999999</v>
      </c>
      <c r="D9" s="601">
        <v>3.42</v>
      </c>
      <c r="E9" s="601">
        <v>4.5520000000000005</v>
      </c>
      <c r="F9" s="601">
        <v>4.3389999999999995</v>
      </c>
      <c r="G9" s="601">
        <v>2.3030000000000004</v>
      </c>
      <c r="H9" s="601">
        <v>2.3650000000000002</v>
      </c>
      <c r="I9" s="601">
        <v>2.5000999999999998</v>
      </c>
      <c r="J9" s="601">
        <v>3.782</v>
      </c>
      <c r="K9" s="601">
        <v>3.4369999999999998</v>
      </c>
      <c r="L9" s="694">
        <v>5.08182036</v>
      </c>
    </row>
    <row r="10" spans="1:12" s="168" customFormat="1" ht="15.75" customHeight="1">
      <c r="A10" s="1716"/>
      <c r="B10" s="261" t="s">
        <v>61</v>
      </c>
      <c r="C10" s="1141">
        <v>12.968</v>
      </c>
      <c r="D10" s="601">
        <v>10.795999999999999</v>
      </c>
      <c r="E10" s="601">
        <v>3.9910000000000001</v>
      </c>
      <c r="F10" s="601">
        <v>6.577</v>
      </c>
      <c r="G10" s="601">
        <v>7.3609999999999998</v>
      </c>
      <c r="H10" s="601">
        <v>1.82</v>
      </c>
      <c r="I10" s="601">
        <v>1.5392600000000001</v>
      </c>
      <c r="J10" s="601">
        <v>2.6379999999999999</v>
      </c>
      <c r="K10" s="601">
        <v>4.5999999999999996</v>
      </c>
      <c r="L10" s="694">
        <v>5.1809716110000004</v>
      </c>
    </row>
    <row r="11" spans="1:12" s="168" customFormat="1" ht="15.75" customHeight="1">
      <c r="A11" s="1716"/>
      <c r="B11" s="261" t="s">
        <v>62</v>
      </c>
      <c r="C11" s="1141">
        <v>43.787999999999997</v>
      </c>
      <c r="D11" s="601">
        <v>45.993000000000002</v>
      </c>
      <c r="E11" s="601">
        <v>31.041</v>
      </c>
      <c r="F11" s="601">
        <v>29.873999999999999</v>
      </c>
      <c r="G11" s="601">
        <v>33.093999999999994</v>
      </c>
      <c r="H11" s="601">
        <v>26.943000000000001</v>
      </c>
      <c r="I11" s="601">
        <v>25.740000000000002</v>
      </c>
      <c r="J11" s="601">
        <v>31.212</v>
      </c>
      <c r="K11" s="601">
        <v>35.552</v>
      </c>
      <c r="L11" s="694">
        <v>34.312074231999993</v>
      </c>
    </row>
    <row r="12" spans="1:12" s="168" customFormat="1" ht="15.75" customHeight="1">
      <c r="A12" s="1716"/>
      <c r="B12" s="261" t="s">
        <v>338</v>
      </c>
      <c r="C12" s="1141"/>
      <c r="D12" s="601"/>
      <c r="E12" s="601"/>
      <c r="F12" s="601"/>
      <c r="G12" s="601">
        <v>9.6349999999999998</v>
      </c>
      <c r="H12" s="601">
        <v>12.798</v>
      </c>
      <c r="I12" s="601">
        <v>20.1709</v>
      </c>
      <c r="J12" s="601">
        <v>22.481999999999999</v>
      </c>
      <c r="K12" s="601">
        <v>21.213000000000001</v>
      </c>
      <c r="L12" s="694">
        <v>19.80848357</v>
      </c>
    </row>
    <row r="13" spans="1:12" s="168" customFormat="1" ht="15.75" customHeight="1">
      <c r="A13" s="1716"/>
      <c r="B13" s="261" t="s">
        <v>337</v>
      </c>
      <c r="C13" s="1141"/>
      <c r="D13" s="601"/>
      <c r="E13" s="601"/>
      <c r="F13" s="602">
        <v>2E-3</v>
      </c>
      <c r="G13" s="601">
        <v>7.0000000000000001E-3</v>
      </c>
      <c r="H13" s="601">
        <v>0.43099999999999999</v>
      </c>
      <c r="I13" s="601">
        <v>1.2922</v>
      </c>
      <c r="J13" s="601">
        <v>0.16500000000000001</v>
      </c>
      <c r="K13" s="601">
        <v>0.47799999999999998</v>
      </c>
      <c r="L13" s="694">
        <v>0.11069686999999999</v>
      </c>
    </row>
    <row r="14" spans="1:12" s="168" customFormat="1" ht="15.75" customHeight="1">
      <c r="A14" s="1713" t="s">
        <v>146</v>
      </c>
      <c r="B14" s="1714"/>
      <c r="C14" s="949">
        <v>60.887</v>
      </c>
      <c r="D14" s="949">
        <v>61.661000000000001</v>
      </c>
      <c r="E14" s="949">
        <v>40.148000000000003</v>
      </c>
      <c r="F14" s="949">
        <v>41.131999999999998</v>
      </c>
      <c r="G14" s="949">
        <v>52.935999999999993</v>
      </c>
      <c r="H14" s="949">
        <v>44.786999999999999</v>
      </c>
      <c r="I14" s="949">
        <v>51.701659999999997</v>
      </c>
      <c r="J14" s="949">
        <v>60.759</v>
      </c>
      <c r="K14" s="949">
        <v>66.820999999999984</v>
      </c>
      <c r="L14" s="949">
        <v>66.469596972999994</v>
      </c>
    </row>
    <row r="15" spans="1:12" s="168" customFormat="1" ht="15.75" customHeight="1">
      <c r="A15" s="1717" t="s">
        <v>348</v>
      </c>
      <c r="B15" s="266" t="s">
        <v>230</v>
      </c>
      <c r="C15" s="1141">
        <v>3.8310000000000004</v>
      </c>
      <c r="D15" s="601">
        <v>2.4179999999999997</v>
      </c>
      <c r="E15" s="601">
        <v>1.71</v>
      </c>
      <c r="F15" s="601">
        <v>8.6999999999999994E-2</v>
      </c>
      <c r="G15" s="601">
        <v>2.1000000000000001E-2</v>
      </c>
      <c r="H15" s="601">
        <v>3.0000000000000001E-3</v>
      </c>
      <c r="I15" s="601">
        <v>0</v>
      </c>
      <c r="J15" s="601">
        <v>1.4999999999999999E-2</v>
      </c>
      <c r="K15" s="601">
        <v>5.2999999999999999E-2</v>
      </c>
      <c r="L15" s="694">
        <v>7.6882549999999994E-2</v>
      </c>
    </row>
    <row r="16" spans="1:12" s="168" customFormat="1" ht="15.75" customHeight="1">
      <c r="A16" s="1717"/>
      <c r="B16" s="267" t="s">
        <v>231</v>
      </c>
      <c r="C16" s="1141">
        <v>0.34099999999999997</v>
      </c>
      <c r="D16" s="601">
        <v>0.309</v>
      </c>
      <c r="E16" s="601">
        <v>0.26400000000000001</v>
      </c>
      <c r="F16" s="601">
        <v>0.48</v>
      </c>
      <c r="G16" s="601">
        <v>0.28799999999999998</v>
      </c>
      <c r="H16" s="601">
        <v>2.7E-2</v>
      </c>
      <c r="I16" s="601">
        <v>9.4540000000000006E-3</v>
      </c>
      <c r="J16" s="601">
        <v>8.299999999999999E-2</v>
      </c>
      <c r="K16" s="601">
        <v>9.4E-2</v>
      </c>
      <c r="L16" s="694">
        <v>0.25747376</v>
      </c>
    </row>
    <row r="17" spans="1:14" s="168" customFormat="1" ht="15.75" customHeight="1">
      <c r="A17" s="1717"/>
      <c r="B17" s="267" t="s">
        <v>232</v>
      </c>
      <c r="C17" s="1141">
        <v>5.1890000000000001</v>
      </c>
      <c r="D17" s="601">
        <v>5.2789999999999999</v>
      </c>
      <c r="E17" s="601">
        <v>3.5129999999999999</v>
      </c>
      <c r="F17" s="601">
        <v>3.3129999999999997</v>
      </c>
      <c r="G17" s="601">
        <v>3.2309999999999999</v>
      </c>
      <c r="H17" s="601">
        <v>2.681</v>
      </c>
      <c r="I17" s="601">
        <v>2.0121889999999998</v>
      </c>
      <c r="J17" s="601">
        <v>1.7020000000000002</v>
      </c>
      <c r="K17" s="601">
        <v>2.593</v>
      </c>
      <c r="L17" s="694">
        <v>1.9508940880000001</v>
      </c>
    </row>
    <row r="18" spans="1:14" s="168" customFormat="1" ht="15.75" customHeight="1">
      <c r="A18" s="1717"/>
      <c r="B18" s="267" t="s">
        <v>233</v>
      </c>
      <c r="C18" s="1141">
        <v>17.664999999999999</v>
      </c>
      <c r="D18" s="601">
        <v>17.318999999999999</v>
      </c>
      <c r="E18" s="601">
        <v>14.535</v>
      </c>
      <c r="F18" s="601">
        <v>15.545000000000002</v>
      </c>
      <c r="G18" s="601">
        <v>14.472</v>
      </c>
      <c r="H18" s="601">
        <v>14.221</v>
      </c>
      <c r="I18" s="601">
        <v>13.048999999999999</v>
      </c>
      <c r="J18" s="601">
        <v>16.100999999999999</v>
      </c>
      <c r="K18" s="601">
        <v>18.007999999999999</v>
      </c>
      <c r="L18" s="694">
        <v>19.600279602999997</v>
      </c>
    </row>
    <row r="19" spans="1:14" s="168" customFormat="1" ht="15.75" customHeight="1">
      <c r="A19" s="1717"/>
      <c r="B19" s="267" t="s">
        <v>234</v>
      </c>
      <c r="C19" s="1141">
        <v>16.302</v>
      </c>
      <c r="D19" s="601">
        <v>13.600000000000001</v>
      </c>
      <c r="E19" s="601">
        <v>14.73</v>
      </c>
      <c r="F19" s="601">
        <v>12.452999999999999</v>
      </c>
      <c r="G19" s="601">
        <v>14.632999999999999</v>
      </c>
      <c r="H19" s="601">
        <v>9.7070000000000007</v>
      </c>
      <c r="I19" s="601">
        <v>8.6570000000000018</v>
      </c>
      <c r="J19" s="601">
        <v>9.9009999999999998</v>
      </c>
      <c r="K19" s="601">
        <v>9.1280000000000001</v>
      </c>
      <c r="L19" s="694">
        <v>8.8091849470000003</v>
      </c>
    </row>
    <row r="20" spans="1:14" s="168" customFormat="1" ht="15.75" customHeight="1">
      <c r="A20" s="1717"/>
      <c r="B20" s="267" t="s">
        <v>235</v>
      </c>
      <c r="C20" s="1141">
        <v>13.113999999999999</v>
      </c>
      <c r="D20" s="601">
        <v>14.14</v>
      </c>
      <c r="E20" s="601">
        <v>10.867999999999999</v>
      </c>
      <c r="F20" s="601">
        <v>7.9</v>
      </c>
      <c r="G20" s="601">
        <v>4.6049999999999995</v>
      </c>
      <c r="H20" s="601">
        <v>4.2519999999999998</v>
      </c>
      <c r="I20" s="601">
        <v>5.4915354799999996</v>
      </c>
      <c r="J20" s="601">
        <v>6.5539999999999994</v>
      </c>
      <c r="K20" s="601">
        <v>7.4480000000000004</v>
      </c>
      <c r="L20" s="694">
        <v>9.6101421340000002</v>
      </c>
    </row>
    <row r="21" spans="1:14" s="168" customFormat="1" ht="15.75" customHeight="1">
      <c r="A21" s="1717"/>
      <c r="B21" s="267" t="s">
        <v>236</v>
      </c>
      <c r="C21" s="1141">
        <v>39.037999999999997</v>
      </c>
      <c r="D21" s="601">
        <v>35.573999999999998</v>
      </c>
      <c r="E21" s="601">
        <v>36.817</v>
      </c>
      <c r="F21" s="601">
        <v>41.347999999999992</v>
      </c>
      <c r="G21" s="601">
        <v>40.891000000000005</v>
      </c>
      <c r="H21" s="601">
        <v>37.445999999999998</v>
      </c>
      <c r="I21" s="601">
        <v>40.742103999999998</v>
      </c>
      <c r="J21" s="601">
        <v>46.406000000000006</v>
      </c>
      <c r="K21" s="601">
        <v>55.514000000000003</v>
      </c>
      <c r="L21" s="694">
        <v>53.765755919999982</v>
      </c>
    </row>
    <row r="22" spans="1:14" s="168" customFormat="1" ht="15.75" customHeight="1">
      <c r="A22" s="1717"/>
      <c r="B22" s="267" t="s">
        <v>237</v>
      </c>
      <c r="C22" s="1141">
        <v>33.150000000000006</v>
      </c>
      <c r="D22" s="601">
        <v>29.574000000000005</v>
      </c>
      <c r="E22" s="601">
        <v>40.98</v>
      </c>
      <c r="F22" s="601">
        <v>54.419999999999987</v>
      </c>
      <c r="G22" s="601">
        <v>45.545999999999999</v>
      </c>
      <c r="H22" s="601">
        <v>47.701999999999998</v>
      </c>
      <c r="I22" s="601">
        <v>46.402158</v>
      </c>
      <c r="J22" s="601">
        <v>53.661000000000008</v>
      </c>
      <c r="K22" s="601">
        <v>57.808999999999997</v>
      </c>
      <c r="L22" s="694">
        <v>71.253013570000022</v>
      </c>
    </row>
    <row r="23" spans="1:14" s="168" customFormat="1" ht="15.75" customHeight="1">
      <c r="A23" s="1717"/>
      <c r="B23" s="267" t="s">
        <v>238</v>
      </c>
      <c r="C23" s="1141">
        <v>44.579000000000001</v>
      </c>
      <c r="D23" s="601">
        <v>38.923999999999999</v>
      </c>
      <c r="E23" s="601">
        <v>27.547000000000001</v>
      </c>
      <c r="F23" s="601">
        <v>35.594999999999999</v>
      </c>
      <c r="G23" s="601">
        <v>37.869</v>
      </c>
      <c r="H23" s="601">
        <v>36.722999999999999</v>
      </c>
      <c r="I23" s="601">
        <v>43.597030999999994</v>
      </c>
      <c r="J23" s="601">
        <v>53.128999999999991</v>
      </c>
      <c r="K23" s="601">
        <v>78.408000000000001</v>
      </c>
      <c r="L23" s="694">
        <v>63.615485134999986</v>
      </c>
    </row>
    <row r="24" spans="1:14" s="168" customFormat="1" ht="15.75" customHeight="1">
      <c r="A24" s="1717"/>
      <c r="B24" s="267" t="s">
        <v>239</v>
      </c>
      <c r="C24" s="1141">
        <v>82.855000000000004</v>
      </c>
      <c r="D24" s="601">
        <v>98.175000000000011</v>
      </c>
      <c r="E24" s="601">
        <v>91.478000000000009</v>
      </c>
      <c r="F24" s="601">
        <v>84.227000000000004</v>
      </c>
      <c r="G24" s="601">
        <v>78.134999999999991</v>
      </c>
      <c r="H24" s="601">
        <v>69.882999999999996</v>
      </c>
      <c r="I24" s="601">
        <v>62.425955299999998</v>
      </c>
      <c r="J24" s="601">
        <v>73.231999999999999</v>
      </c>
      <c r="K24" s="601">
        <v>69.527000000000001</v>
      </c>
      <c r="L24" s="694">
        <v>87.665019610000002</v>
      </c>
    </row>
    <row r="25" spans="1:14" s="168" customFormat="1" ht="15.75" customHeight="1">
      <c r="A25" s="1717"/>
      <c r="B25" s="267" t="s">
        <v>240</v>
      </c>
      <c r="C25" s="1141">
        <v>147.46</v>
      </c>
      <c r="D25" s="601">
        <v>143.233</v>
      </c>
      <c r="E25" s="601">
        <v>179.97499999999997</v>
      </c>
      <c r="F25" s="601">
        <v>199.70499999999998</v>
      </c>
      <c r="G25" s="601">
        <v>193.87199999999999</v>
      </c>
      <c r="H25" s="601">
        <v>194.69300000000001</v>
      </c>
      <c r="I25" s="601">
        <v>223.09079299999999</v>
      </c>
      <c r="J25" s="601">
        <v>247.64100000000002</v>
      </c>
      <c r="K25" s="601">
        <v>271.95600000000002</v>
      </c>
      <c r="L25" s="694">
        <v>260.14634924299997</v>
      </c>
    </row>
    <row r="26" spans="1:14" s="168" customFormat="1" ht="15.75" customHeight="1">
      <c r="A26" s="1717"/>
      <c r="B26" s="267" t="s">
        <v>241</v>
      </c>
      <c r="C26" s="1141">
        <v>90.578000000000003</v>
      </c>
      <c r="D26" s="601">
        <v>91.786000000000001</v>
      </c>
      <c r="E26" s="601">
        <v>53.417999999999999</v>
      </c>
      <c r="F26" s="601">
        <v>66.297000000000011</v>
      </c>
      <c r="G26" s="601">
        <v>71.628</v>
      </c>
      <c r="H26" s="601">
        <v>73.346000000000004</v>
      </c>
      <c r="I26" s="601">
        <v>77.625501727</v>
      </c>
      <c r="J26" s="601">
        <v>103.559</v>
      </c>
      <c r="K26" s="601">
        <v>121.226</v>
      </c>
      <c r="L26" s="694">
        <v>134.11645018000002</v>
      </c>
    </row>
    <row r="27" spans="1:14" s="168" customFormat="1" ht="15.75" customHeight="1">
      <c r="A27" s="1717"/>
      <c r="B27" s="267" t="s">
        <v>242</v>
      </c>
      <c r="C27" s="1141">
        <v>77.619</v>
      </c>
      <c r="D27" s="601">
        <v>90.937000000000012</v>
      </c>
      <c r="E27" s="601">
        <v>101.74299999999999</v>
      </c>
      <c r="F27" s="601">
        <v>111.21</v>
      </c>
      <c r="G27" s="601">
        <v>86.864000000000004</v>
      </c>
      <c r="H27" s="601">
        <v>80.935000000000002</v>
      </c>
      <c r="I27" s="601">
        <v>100.35807526999999</v>
      </c>
      <c r="J27" s="601">
        <v>100.12</v>
      </c>
      <c r="K27" s="601">
        <v>115.271</v>
      </c>
      <c r="L27" s="694">
        <v>115.55230785400001</v>
      </c>
    </row>
    <row r="28" spans="1:14" s="168" customFormat="1" ht="15.75" customHeight="1">
      <c r="A28" s="1717"/>
      <c r="B28" s="267" t="s">
        <v>243</v>
      </c>
      <c r="C28" s="1141">
        <v>1.4390000000000001</v>
      </c>
      <c r="D28" s="601">
        <v>6.4190000000000005</v>
      </c>
      <c r="E28" s="601">
        <v>44.637</v>
      </c>
      <c r="F28" s="601">
        <v>41.036999999999999</v>
      </c>
      <c r="G28" s="601">
        <v>58.794999999999995</v>
      </c>
      <c r="H28" s="601">
        <v>66.296999999999997</v>
      </c>
      <c r="I28" s="601">
        <v>81.183775000000011</v>
      </c>
      <c r="J28" s="601">
        <v>92.593000000000018</v>
      </c>
      <c r="K28" s="601">
        <v>93.149000000000001</v>
      </c>
      <c r="L28" s="694">
        <v>128.41994249300004</v>
      </c>
    </row>
    <row r="29" spans="1:14" s="168" customFormat="1" ht="15.75" customHeight="1">
      <c r="A29" s="1717"/>
      <c r="B29" s="267" t="s">
        <v>244</v>
      </c>
      <c r="C29" s="1141">
        <v>4.0730000000000004</v>
      </c>
      <c r="D29" s="601">
        <v>3.2629999999999999</v>
      </c>
      <c r="E29" s="601">
        <v>7.8940000000000001</v>
      </c>
      <c r="F29" s="601">
        <v>6.8849999999999998</v>
      </c>
      <c r="G29" s="601">
        <v>17.597999999999999</v>
      </c>
      <c r="H29" s="601">
        <v>26.201000000000001</v>
      </c>
      <c r="I29" s="601">
        <v>14.046934</v>
      </c>
      <c r="J29" s="601">
        <v>17.933999999999997</v>
      </c>
      <c r="K29" s="601">
        <v>24.587</v>
      </c>
      <c r="L29" s="694">
        <v>15.999281325000002</v>
      </c>
    </row>
    <row r="30" spans="1:14" s="168" customFormat="1" ht="15.75" customHeight="1">
      <c r="A30" s="1717"/>
      <c r="B30" s="267" t="s">
        <v>245</v>
      </c>
      <c r="C30" s="1141">
        <v>0.41799999999999998</v>
      </c>
      <c r="D30" s="601">
        <v>4.5049999999999999</v>
      </c>
      <c r="E30" s="601">
        <v>3.544</v>
      </c>
      <c r="F30" s="601">
        <v>3.8469999999999995</v>
      </c>
      <c r="G30" s="601">
        <v>4.0330000000000004</v>
      </c>
      <c r="H30" s="601">
        <v>6.79</v>
      </c>
      <c r="I30" s="601">
        <v>7.4421149999999994</v>
      </c>
      <c r="J30" s="601">
        <v>4.2770000000000001</v>
      </c>
      <c r="K30" s="601">
        <v>4.3230000000000004</v>
      </c>
      <c r="L30" s="694">
        <v>1.406229527</v>
      </c>
      <c r="N30" s="167"/>
    </row>
    <row r="31" spans="1:14" s="169" customFormat="1" ht="15.75" customHeight="1">
      <c r="A31" s="1717"/>
      <c r="B31" s="267" t="s">
        <v>246</v>
      </c>
      <c r="C31" s="1141">
        <v>0.69200000000000006</v>
      </c>
      <c r="D31" s="601">
        <v>0.752</v>
      </c>
      <c r="E31" s="601">
        <v>1.5990000000000002</v>
      </c>
      <c r="F31" s="601">
        <v>3.2370000000000001</v>
      </c>
      <c r="G31" s="601">
        <v>5.4570000000000007</v>
      </c>
      <c r="H31" s="601">
        <v>0.38900000000000001</v>
      </c>
      <c r="I31" s="601">
        <v>0.37483899999999998</v>
      </c>
      <c r="J31" s="601">
        <v>5.524</v>
      </c>
      <c r="K31" s="601">
        <v>1.911</v>
      </c>
      <c r="L31" s="694">
        <v>8.4988779899999987</v>
      </c>
      <c r="N31" s="170"/>
    </row>
    <row r="32" spans="1:14" s="169" customFormat="1" ht="15.75" customHeight="1">
      <c r="A32" s="1717"/>
      <c r="B32" s="267" t="s">
        <v>289</v>
      </c>
      <c r="C32" s="1141"/>
      <c r="D32" s="601"/>
      <c r="E32" s="601"/>
      <c r="F32" s="601"/>
      <c r="G32" s="601"/>
      <c r="H32" s="601"/>
      <c r="I32" s="601"/>
      <c r="J32" s="601"/>
      <c r="K32" s="601"/>
      <c r="L32" s="694">
        <v>0.30956561999999999</v>
      </c>
      <c r="N32" s="170"/>
    </row>
    <row r="33" spans="1:17" ht="15.75" customHeight="1">
      <c r="A33" s="1713" t="s">
        <v>161</v>
      </c>
      <c r="B33" s="1714"/>
      <c r="C33" s="949">
        <v>578.34299999999996</v>
      </c>
      <c r="D33" s="949">
        <v>596.20699999999999</v>
      </c>
      <c r="E33" s="949">
        <v>635.25199999999995</v>
      </c>
      <c r="F33" s="949">
        <v>687.58600000000001</v>
      </c>
      <c r="G33" s="949">
        <v>677.93799999999987</v>
      </c>
      <c r="H33" s="949">
        <v>671.29599999999994</v>
      </c>
      <c r="I33" s="949">
        <v>726.50845977699976</v>
      </c>
      <c r="J33" s="949">
        <v>832.43200000000013</v>
      </c>
      <c r="K33" s="949">
        <v>931.00499999999988</v>
      </c>
      <c r="L33" s="949">
        <v>981.05313554899988</v>
      </c>
      <c r="N33" s="168"/>
      <c r="O33" s="168"/>
      <c r="P33" s="168"/>
      <c r="Q33" s="168"/>
    </row>
    <row r="34" spans="1:17" ht="15.75" customHeight="1" thickBot="1">
      <c r="A34" s="953" t="s">
        <v>149</v>
      </c>
      <c r="B34" s="1076"/>
      <c r="C34" s="954">
        <v>639.23</v>
      </c>
      <c r="D34" s="954">
        <v>657.86799999999994</v>
      </c>
      <c r="E34" s="954">
        <v>675.4</v>
      </c>
      <c r="F34" s="954">
        <v>728.71799999999996</v>
      </c>
      <c r="G34" s="954">
        <v>730.87399999999991</v>
      </c>
      <c r="H34" s="954">
        <v>716.08299999999997</v>
      </c>
      <c r="I34" s="954">
        <v>778.2101197769997</v>
      </c>
      <c r="J34" s="954">
        <v>893.19100000000014</v>
      </c>
      <c r="K34" s="954">
        <v>997.82599999999991</v>
      </c>
      <c r="L34" s="954">
        <v>1047.5227325219998</v>
      </c>
      <c r="N34" s="168"/>
      <c r="O34" s="168"/>
      <c r="P34" s="168"/>
      <c r="Q34" s="168"/>
    </row>
    <row r="35" spans="1:17" ht="13.5" thickTop="1"/>
    <row r="57" spans="1:1">
      <c r="A57" s="204" t="s">
        <v>428</v>
      </c>
    </row>
  </sheetData>
  <mergeCells count="6">
    <mergeCell ref="A33:B33"/>
    <mergeCell ref="A5:A13"/>
    <mergeCell ref="A14:B14"/>
    <mergeCell ref="A1:L1"/>
    <mergeCell ref="A2:L2"/>
    <mergeCell ref="A15:A32"/>
  </mergeCells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22" orientation="portrait" useFirstPageNumber="1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 codeName="Sheet26">
    <tabColor rgb="FF00B050"/>
  </sheetPr>
  <dimension ref="A1:AA17"/>
  <sheetViews>
    <sheetView view="pageBreakPreview" zoomScaleNormal="100" zoomScaleSheetLayoutView="100" workbookViewId="0">
      <selection activeCell="R12" sqref="R12"/>
    </sheetView>
  </sheetViews>
  <sheetFormatPr defaultColWidth="12.140625" defaultRowHeight="12.75"/>
  <cols>
    <col min="1" max="1" width="7.7109375" style="608" customWidth="1"/>
    <col min="2" max="3" width="7.28515625" style="608" customWidth="1"/>
    <col min="4" max="4" width="7.85546875" style="608" customWidth="1"/>
    <col min="5" max="5" width="8.42578125" style="608" customWidth="1"/>
    <col min="6" max="6" width="9.140625" style="608" bestFit="1" customWidth="1"/>
    <col min="7" max="8" width="7" style="608" customWidth="1"/>
    <col min="9" max="9" width="7.42578125" style="608" customWidth="1"/>
    <col min="10" max="10" width="7.7109375" style="608" customWidth="1"/>
    <col min="11" max="11" width="9.42578125" style="608" customWidth="1"/>
    <col min="12" max="12" width="8.85546875" style="610" customWidth="1"/>
    <col min="13" max="13" width="9.28515625" style="610" customWidth="1"/>
    <col min="14" max="14" width="8.7109375" style="608" customWidth="1"/>
    <col min="15" max="15" width="7.85546875" style="608" customWidth="1"/>
    <col min="16" max="16" width="10.7109375" style="608" customWidth="1"/>
    <col min="17" max="16384" width="12.140625" style="608"/>
  </cols>
  <sheetData>
    <row r="1" spans="1:27" ht="21.75" customHeight="1">
      <c r="A1" s="1721" t="s">
        <v>536</v>
      </c>
      <c r="B1" s="1722"/>
      <c r="C1" s="1722"/>
      <c r="D1" s="1722"/>
      <c r="E1" s="1722"/>
      <c r="F1" s="1722"/>
      <c r="G1" s="1722"/>
      <c r="H1" s="1722"/>
      <c r="I1" s="1722"/>
      <c r="J1" s="1722"/>
      <c r="K1" s="1722"/>
      <c r="L1" s="1722"/>
      <c r="M1" s="1723"/>
    </row>
    <row r="2" spans="1:27" ht="19.149999999999999" customHeight="1">
      <c r="A2" s="1718" t="s">
        <v>417</v>
      </c>
      <c r="B2" s="1719"/>
      <c r="C2" s="1719"/>
      <c r="D2" s="1719"/>
      <c r="E2" s="1719"/>
      <c r="F2" s="1719"/>
      <c r="G2" s="1719"/>
      <c r="H2" s="1719"/>
      <c r="I2" s="1719"/>
      <c r="J2" s="1719"/>
      <c r="K2" s="1719"/>
      <c r="L2" s="1719"/>
      <c r="M2" s="1720"/>
    </row>
    <row r="3" spans="1:27" ht="18" customHeight="1">
      <c r="A3" s="1724" t="s">
        <v>0</v>
      </c>
      <c r="B3" s="1727" t="s">
        <v>153</v>
      </c>
      <c r="C3" s="1729"/>
      <c r="D3" s="1729"/>
      <c r="E3" s="1730"/>
      <c r="F3" s="1740"/>
      <c r="G3" s="1727" t="s">
        <v>152</v>
      </c>
      <c r="H3" s="1729"/>
      <c r="I3" s="1729"/>
      <c r="J3" s="1730"/>
      <c r="K3" s="1730"/>
      <c r="L3" s="1727" t="s">
        <v>151</v>
      </c>
      <c r="M3" s="1728"/>
    </row>
    <row r="4" spans="1:27" ht="15.75" customHeight="1">
      <c r="A4" s="1725"/>
      <c r="B4" s="1727" t="s">
        <v>90</v>
      </c>
      <c r="C4" s="1729"/>
      <c r="D4" s="1729"/>
      <c r="E4" s="1738" t="s">
        <v>355</v>
      </c>
      <c r="F4" s="1738" t="s">
        <v>291</v>
      </c>
      <c r="G4" s="1727" t="s">
        <v>90</v>
      </c>
      <c r="H4" s="1729"/>
      <c r="I4" s="1731"/>
      <c r="J4" s="1732" t="s">
        <v>354</v>
      </c>
      <c r="K4" s="1738" t="s">
        <v>290</v>
      </c>
      <c r="L4" s="1734" t="s">
        <v>90</v>
      </c>
      <c r="M4" s="1736" t="s">
        <v>313</v>
      </c>
    </row>
    <row r="5" spans="1:27" s="609" customFormat="1" ht="54.75" customHeight="1">
      <c r="A5" s="1726"/>
      <c r="B5" s="1195" t="s">
        <v>353</v>
      </c>
      <c r="C5" s="1196" t="s">
        <v>352</v>
      </c>
      <c r="D5" s="1195" t="s">
        <v>351</v>
      </c>
      <c r="E5" s="1739"/>
      <c r="F5" s="1739"/>
      <c r="G5" s="1195" t="s">
        <v>353</v>
      </c>
      <c r="H5" s="1196" t="s">
        <v>352</v>
      </c>
      <c r="I5" s="1195" t="s">
        <v>351</v>
      </c>
      <c r="J5" s="1733"/>
      <c r="K5" s="1739"/>
      <c r="L5" s="1735"/>
      <c r="M5" s="1737"/>
      <c r="N5" s="608"/>
      <c r="O5" s="608"/>
      <c r="P5" s="608"/>
      <c r="Q5" s="608"/>
      <c r="R5" s="608"/>
      <c r="S5" s="608"/>
    </row>
    <row r="6" spans="1:27" ht="13.9" customHeight="1">
      <c r="A6" s="1070" t="s">
        <v>162</v>
      </c>
      <c r="B6" s="1067" t="s">
        <v>163</v>
      </c>
      <c r="C6" s="1067" t="s">
        <v>164</v>
      </c>
      <c r="D6" s="1067" t="s">
        <v>165</v>
      </c>
      <c r="E6" s="1067" t="s">
        <v>166</v>
      </c>
      <c r="F6" s="1067" t="s">
        <v>167</v>
      </c>
      <c r="G6" s="1067" t="s">
        <v>168</v>
      </c>
      <c r="H6" s="1067" t="s">
        <v>169</v>
      </c>
      <c r="I6" s="1067" t="s">
        <v>170</v>
      </c>
      <c r="J6" s="1071" t="s">
        <v>171</v>
      </c>
      <c r="K6" s="1067" t="s">
        <v>172</v>
      </c>
      <c r="L6" s="1072" t="s">
        <v>173</v>
      </c>
      <c r="M6" s="1073" t="s">
        <v>174</v>
      </c>
    </row>
    <row r="7" spans="1:27" ht="15.75" customHeight="1">
      <c r="A7" s="611" t="s">
        <v>293</v>
      </c>
      <c r="B7" s="612">
        <v>504.96899999999999</v>
      </c>
      <c r="C7" s="613">
        <v>49.726999999999997</v>
      </c>
      <c r="D7" s="614">
        <v>592.82200000000012</v>
      </c>
      <c r="E7" s="615">
        <f t="shared" ref="E7:E11" si="0">100*D7/L7</f>
        <v>92.740015330945042</v>
      </c>
      <c r="F7" s="745">
        <v>5.74E-2</v>
      </c>
      <c r="G7" s="612">
        <v>33.785000000000004</v>
      </c>
      <c r="H7" s="613">
        <v>10.653</v>
      </c>
      <c r="I7" s="614">
        <v>46.408000000000001</v>
      </c>
      <c r="J7" s="615">
        <f>100*I7/L7</f>
        <v>7.2599846690549557</v>
      </c>
      <c r="K7" s="745">
        <v>4.3400000000000001E-2</v>
      </c>
      <c r="L7" s="616">
        <f>D7+I7</f>
        <v>639.23000000000013</v>
      </c>
      <c r="M7" s="768">
        <v>4.9299999999999997E-2</v>
      </c>
      <c r="P7" s="1362"/>
      <c r="Q7" s="1362"/>
      <c r="R7" s="1362"/>
      <c r="S7" s="1488"/>
      <c r="T7" s="1489"/>
      <c r="U7" s="1362"/>
      <c r="V7" s="1362"/>
      <c r="W7" s="1362"/>
      <c r="X7" s="1488"/>
      <c r="Y7" s="1489"/>
      <c r="Z7" s="1362"/>
      <c r="AA7" s="1489"/>
    </row>
    <row r="8" spans="1:27" ht="15.75" customHeight="1">
      <c r="A8" s="611" t="s">
        <v>301</v>
      </c>
      <c r="B8" s="612">
        <v>522.66300000000001</v>
      </c>
      <c r="C8" s="613">
        <v>51.820999999999998</v>
      </c>
      <c r="D8" s="614">
        <v>613.51800000000003</v>
      </c>
      <c r="E8" s="615">
        <f t="shared" si="0"/>
        <v>93.258526026497719</v>
      </c>
      <c r="F8" s="745">
        <f t="shared" ref="F8:F11" si="1">(D8-D7)/D7</f>
        <v>3.4910985084898857E-2</v>
      </c>
      <c r="G8" s="612">
        <v>31.477000000000004</v>
      </c>
      <c r="H8" s="613">
        <v>9.5150000000000006</v>
      </c>
      <c r="I8" s="614">
        <v>44.35</v>
      </c>
      <c r="J8" s="615">
        <f t="shared" ref="J8:J11" si="2">100*I8/L8</f>
        <v>6.7414739735022824</v>
      </c>
      <c r="K8" s="745">
        <f t="shared" ref="K8:K13" si="3">(I8-I7)/I7</f>
        <v>-4.4345802447853813E-2</v>
      </c>
      <c r="L8" s="616">
        <f>D8+I8</f>
        <v>657.86800000000005</v>
      </c>
      <c r="M8" s="768">
        <f t="shared" ref="M8:M13" si="4">(L8-L7)/L7</f>
        <v>2.9156954460835563E-2</v>
      </c>
      <c r="P8" s="1362"/>
      <c r="Q8" s="1362"/>
      <c r="R8" s="1362"/>
      <c r="S8" s="1488"/>
      <c r="T8" s="1489"/>
      <c r="U8" s="1362"/>
      <c r="V8" s="1362"/>
      <c r="W8" s="1362"/>
      <c r="X8" s="1488"/>
      <c r="Y8" s="1489"/>
      <c r="Z8" s="1362"/>
      <c r="AA8" s="1489"/>
    </row>
    <row r="9" spans="1:27" ht="15.75" customHeight="1">
      <c r="A9" s="611" t="s">
        <v>309</v>
      </c>
      <c r="B9" s="612">
        <v>536.82300000000009</v>
      </c>
      <c r="C9" s="613">
        <v>53.7</v>
      </c>
      <c r="D9" s="614">
        <v>633.56900000000007</v>
      </c>
      <c r="E9" s="615">
        <f t="shared" si="0"/>
        <v>93.806485045898725</v>
      </c>
      <c r="F9" s="745">
        <f t="shared" si="1"/>
        <v>3.2682007699855659E-2</v>
      </c>
      <c r="G9" s="612">
        <v>30.543000000000003</v>
      </c>
      <c r="H9" s="613">
        <v>8.31</v>
      </c>
      <c r="I9" s="614">
        <v>41.831000000000003</v>
      </c>
      <c r="J9" s="615">
        <f t="shared" si="2"/>
        <v>6.1935149541012731</v>
      </c>
      <c r="K9" s="745">
        <f t="shared" si="3"/>
        <v>-5.6798196166854525E-2</v>
      </c>
      <c r="L9" s="616">
        <f>D9+I9</f>
        <v>675.40000000000009</v>
      </c>
      <c r="M9" s="768">
        <f t="shared" si="4"/>
        <v>2.6649723044744597E-2</v>
      </c>
      <c r="P9" s="1362"/>
      <c r="Q9" s="1362"/>
      <c r="R9" s="1362"/>
      <c r="S9" s="1488"/>
      <c r="T9" s="1489"/>
      <c r="U9" s="1362"/>
      <c r="V9" s="1362"/>
      <c r="W9" s="1362"/>
      <c r="X9" s="1488"/>
      <c r="Y9" s="1489"/>
      <c r="Z9" s="1362"/>
      <c r="AA9" s="1489"/>
    </row>
    <row r="10" spans="1:27" ht="15.75" customHeight="1">
      <c r="A10" s="611" t="s">
        <v>319</v>
      </c>
      <c r="B10" s="612">
        <v>576.404</v>
      </c>
      <c r="C10" s="613">
        <v>55.222999999999999</v>
      </c>
      <c r="D10" s="614">
        <v>686.21399999999994</v>
      </c>
      <c r="E10" s="615">
        <f t="shared" si="0"/>
        <v>94.167291050859177</v>
      </c>
      <c r="F10" s="745">
        <f t="shared" si="1"/>
        <v>8.3092764955355863E-2</v>
      </c>
      <c r="G10" s="612">
        <v>30.483000000000001</v>
      </c>
      <c r="H10" s="613">
        <v>9.1780000000000008</v>
      </c>
      <c r="I10" s="614">
        <v>42.503999999999998</v>
      </c>
      <c r="J10" s="615">
        <f t="shared" si="2"/>
        <v>5.8327089491408195</v>
      </c>
      <c r="K10" s="745">
        <f t="shared" si="3"/>
        <v>1.6088546771532947E-2</v>
      </c>
      <c r="L10" s="616">
        <v>728.71799999999996</v>
      </c>
      <c r="M10" s="768">
        <f t="shared" si="4"/>
        <v>7.8942848682262159E-2</v>
      </c>
      <c r="P10" s="1362"/>
      <c r="Q10" s="1362"/>
      <c r="R10" s="1362"/>
      <c r="S10" s="1488"/>
      <c r="T10" s="1489"/>
      <c r="U10" s="1362"/>
      <c r="V10" s="1362"/>
      <c r="W10" s="1362"/>
      <c r="X10" s="1488"/>
      <c r="Y10" s="1489"/>
      <c r="Z10" s="1362"/>
      <c r="AA10" s="1489"/>
    </row>
    <row r="11" spans="1:27" ht="15.75" customHeight="1">
      <c r="A11" s="611" t="s">
        <v>332</v>
      </c>
      <c r="B11" s="612">
        <v>572.09199999999998</v>
      </c>
      <c r="C11" s="613">
        <v>55.359000000000002</v>
      </c>
      <c r="D11" s="614">
        <v>690.39300000000003</v>
      </c>
      <c r="E11" s="615">
        <f t="shared" si="0"/>
        <v>94.461288813119637</v>
      </c>
      <c r="F11" s="745">
        <f t="shared" si="1"/>
        <v>6.0899369584416635E-3</v>
      </c>
      <c r="G11" s="612">
        <v>30.036999999999999</v>
      </c>
      <c r="H11" s="613">
        <v>8.6850000000000005</v>
      </c>
      <c r="I11" s="614">
        <v>40.481000000000002</v>
      </c>
      <c r="J11" s="615">
        <f t="shared" si="2"/>
        <v>5.5387111868803656</v>
      </c>
      <c r="K11" s="745">
        <f t="shared" si="3"/>
        <v>-4.7595520421607293E-2</v>
      </c>
      <c r="L11" s="616">
        <f t="shared" ref="L11:L16" si="5">D11+I11</f>
        <v>730.87400000000002</v>
      </c>
      <c r="M11" s="768">
        <f>(L11-L10)/L10</f>
        <v>2.9586204814483282E-3</v>
      </c>
      <c r="P11" s="1362"/>
      <c r="Q11" s="1362"/>
      <c r="R11" s="1362"/>
      <c r="S11" s="1488"/>
      <c r="T11" s="1489"/>
      <c r="U11" s="1362"/>
      <c r="V11" s="1362"/>
      <c r="W11" s="1362"/>
      <c r="X11" s="1488"/>
      <c r="Y11" s="1489"/>
      <c r="Z11" s="1362"/>
      <c r="AA11" s="1489"/>
    </row>
    <row r="12" spans="1:27" ht="15.75" customHeight="1">
      <c r="A12" s="746" t="s">
        <v>345</v>
      </c>
      <c r="B12" s="747">
        <v>569.76799999999992</v>
      </c>
      <c r="C12" s="748">
        <v>46.064999999999998</v>
      </c>
      <c r="D12" s="749">
        <v>683.87199999999984</v>
      </c>
      <c r="E12" s="750">
        <f>100*D12/L12</f>
        <v>95.501778425126687</v>
      </c>
      <c r="F12" s="751">
        <f>(D12-D11)/D11</f>
        <v>-9.4453448977613978E-3</v>
      </c>
      <c r="G12" s="747">
        <v>26.452999999999999</v>
      </c>
      <c r="H12" s="748">
        <v>4.5149999999999997</v>
      </c>
      <c r="I12" s="749">
        <v>32.210999999999999</v>
      </c>
      <c r="J12" s="750">
        <f>100*I12/L12</f>
        <v>4.4982215748733045</v>
      </c>
      <c r="K12" s="751">
        <f>(I12-I11)/I11</f>
        <v>-0.20429337219930344</v>
      </c>
      <c r="L12" s="752">
        <f t="shared" si="5"/>
        <v>716.08299999999986</v>
      </c>
      <c r="M12" s="769">
        <f>(L12-L11)/L11</f>
        <v>-2.0237414383327587E-2</v>
      </c>
      <c r="P12" s="1362"/>
      <c r="Q12" s="1362"/>
      <c r="R12" s="1362"/>
      <c r="S12" s="1488"/>
      <c r="T12" s="1489"/>
      <c r="U12" s="1362"/>
      <c r="V12" s="1362"/>
      <c r="W12" s="1362"/>
      <c r="X12" s="1488"/>
      <c r="Y12" s="1489"/>
      <c r="Z12" s="1362"/>
      <c r="AA12" s="1489"/>
    </row>
    <row r="13" spans="1:27" ht="15.75" customHeight="1">
      <c r="A13" s="746" t="s">
        <v>418</v>
      </c>
      <c r="B13" s="747">
        <v>597.00735800000007</v>
      </c>
      <c r="C13" s="748">
        <v>58.764000000000003</v>
      </c>
      <c r="D13" s="749">
        <v>745.02727129699986</v>
      </c>
      <c r="E13" s="750">
        <f>100*D13/L13</f>
        <v>95.736006998555325</v>
      </c>
      <c r="F13" s="751">
        <f>(D13-D12)/D12</f>
        <v>8.9425025877649653E-2</v>
      </c>
      <c r="G13" s="747">
        <v>25.625529</v>
      </c>
      <c r="H13" s="748">
        <v>6.2576000000000001</v>
      </c>
      <c r="I13" s="749">
        <v>33.182824000000004</v>
      </c>
      <c r="J13" s="750">
        <f>100*I13/L13</f>
        <v>4.2639930014446747</v>
      </c>
      <c r="K13" s="751">
        <f t="shared" si="3"/>
        <v>3.017056285120006E-2</v>
      </c>
      <c r="L13" s="752">
        <f t="shared" si="5"/>
        <v>778.21009529699984</v>
      </c>
      <c r="M13" s="769">
        <f t="shared" si="4"/>
        <v>8.6759628837718525E-2</v>
      </c>
      <c r="P13" s="1362"/>
      <c r="Q13" s="1362"/>
      <c r="R13" s="1362"/>
      <c r="S13" s="1488"/>
      <c r="T13" s="1489"/>
      <c r="U13" s="1362"/>
      <c r="V13" s="1362"/>
      <c r="W13" s="1362"/>
      <c r="X13" s="1488"/>
      <c r="Y13" s="1489"/>
      <c r="Z13" s="1362"/>
      <c r="AA13" s="1489"/>
    </row>
    <row r="14" spans="1:27" ht="15.75" customHeight="1">
      <c r="A14" s="746" t="s">
        <v>431</v>
      </c>
      <c r="B14" s="747">
        <v>677.71699999999998</v>
      </c>
      <c r="C14" s="748">
        <v>59.938000000000002</v>
      </c>
      <c r="D14" s="749">
        <v>858.34299999999996</v>
      </c>
      <c r="E14" s="750">
        <f>100*D14/L14</f>
        <v>96.098482855290769</v>
      </c>
      <c r="F14" s="751">
        <f>(D14-D13)/D13</f>
        <v>0.15209608167192526</v>
      </c>
      <c r="G14" s="747">
        <v>25.486999999999998</v>
      </c>
      <c r="H14" s="748">
        <v>7.1989999999999998</v>
      </c>
      <c r="I14" s="749">
        <v>34.847999999999999</v>
      </c>
      <c r="J14" s="750">
        <f>100*I14/L14</f>
        <v>3.9015171447092505</v>
      </c>
      <c r="K14" s="751">
        <f>(I14-I13)/I13</f>
        <v>5.0181865172174468E-2</v>
      </c>
      <c r="L14" s="752">
        <f t="shared" si="5"/>
        <v>893.19099999999992</v>
      </c>
      <c r="M14" s="769">
        <f>(L14-L13)/L13</f>
        <v>0.14775046661289867</v>
      </c>
      <c r="P14" s="1362"/>
      <c r="Q14" s="1362"/>
      <c r="R14" s="1362"/>
      <c r="S14" s="1488"/>
      <c r="T14" s="1489"/>
      <c r="U14" s="1362"/>
      <c r="V14" s="1362"/>
      <c r="W14" s="1362"/>
      <c r="X14" s="1488"/>
      <c r="Y14" s="1489"/>
      <c r="Z14" s="1362"/>
      <c r="AA14" s="1489"/>
    </row>
    <row r="15" spans="1:27" ht="15.75" customHeight="1">
      <c r="A15" s="746" t="s">
        <v>504</v>
      </c>
      <c r="B15" s="747">
        <v>747.78499999999997</v>
      </c>
      <c r="C15" s="748">
        <v>64.09</v>
      </c>
      <c r="D15" s="749">
        <v>963.495</v>
      </c>
      <c r="E15" s="750">
        <f>100*D15/L15</f>
        <v>96.559420179470166</v>
      </c>
      <c r="F15" s="751">
        <f>(D15-D14)/D14</f>
        <v>0.12250580478899467</v>
      </c>
      <c r="G15" s="747">
        <v>26.021000000000001</v>
      </c>
      <c r="H15" s="748">
        <v>5.931</v>
      </c>
      <c r="I15" s="749">
        <v>34.331000000000003</v>
      </c>
      <c r="J15" s="750">
        <f>100*I15/L15</f>
        <v>3.4405798205298321</v>
      </c>
      <c r="K15" s="751">
        <f>(I15-I14)/I14</f>
        <v>-1.4835858585858468E-2</v>
      </c>
      <c r="L15" s="752">
        <f t="shared" si="5"/>
        <v>997.82600000000002</v>
      </c>
      <c r="M15" s="769">
        <f>(L15-L14)/L14</f>
        <v>0.11714739624559597</v>
      </c>
      <c r="P15" s="1362"/>
      <c r="Q15" s="1362"/>
      <c r="R15" s="1362"/>
      <c r="S15" s="1488"/>
      <c r="T15" s="1489"/>
      <c r="U15" s="1362"/>
      <c r="V15" s="1362"/>
      <c r="W15" s="1362"/>
      <c r="X15" s="1488"/>
      <c r="Y15" s="1489"/>
      <c r="Z15" s="1362"/>
      <c r="AA15" s="1489"/>
    </row>
    <row r="16" spans="1:27" ht="15.75" customHeight="1" thickBot="1">
      <c r="A16" s="1363" t="s">
        <v>538</v>
      </c>
      <c r="B16" s="1364">
        <v>755.61322052800006</v>
      </c>
      <c r="C16" s="1365">
        <v>64.199395965999997</v>
      </c>
      <c r="D16" s="1366">
        <v>1015.6647577820002</v>
      </c>
      <c r="E16" s="1367">
        <f>100*D16/L16</f>
        <v>96.958743464388562</v>
      </c>
      <c r="F16" s="1368">
        <f>(D16-D15)/D15</f>
        <v>5.4146371057452451E-2</v>
      </c>
      <c r="G16" s="1364">
        <v>25.442443063999999</v>
      </c>
      <c r="H16" s="1365">
        <v>4.8070000000000004</v>
      </c>
      <c r="I16" s="1366">
        <v>31.857849764000001</v>
      </c>
      <c r="J16" s="1367">
        <f>100*I16/L16</f>
        <v>3.0412565356114301</v>
      </c>
      <c r="K16" s="1368">
        <f>(I16-I15)/I15</f>
        <v>-7.2038397832862477E-2</v>
      </c>
      <c r="L16" s="1369">
        <f t="shared" si="5"/>
        <v>1047.5226075460002</v>
      </c>
      <c r="M16" s="1370">
        <f>(L16-L15)/L15</f>
        <v>4.9804883362430143E-2</v>
      </c>
      <c r="P16" s="1362"/>
      <c r="Q16" s="1362"/>
      <c r="R16" s="1362"/>
      <c r="S16" s="1488"/>
      <c r="T16" s="1489"/>
      <c r="U16" s="1362"/>
      <c r="V16" s="1362"/>
      <c r="W16" s="1362"/>
      <c r="X16" s="1488"/>
      <c r="Y16" s="1489"/>
      <c r="Z16" s="1362"/>
      <c r="AA16" s="1489"/>
    </row>
    <row r="17" ht="13.5" thickTop="1"/>
  </sheetData>
  <mergeCells count="14">
    <mergeCell ref="A2:M2"/>
    <mergeCell ref="A1:M1"/>
    <mergeCell ref="A3:A5"/>
    <mergeCell ref="L3:M3"/>
    <mergeCell ref="B4:D4"/>
    <mergeCell ref="G3:K3"/>
    <mergeCell ref="G4:I4"/>
    <mergeCell ref="J4:J5"/>
    <mergeCell ref="L4:L5"/>
    <mergeCell ref="M4:M5"/>
    <mergeCell ref="K4:K5"/>
    <mergeCell ref="E4:E5"/>
    <mergeCell ref="F4:F5"/>
    <mergeCell ref="B3:F3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90" firstPageNumber="23" orientation="portrait" useFirstPageNumber="1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syncVertical="1" syncRef="A1" transitionEvaluation="1" codeName="Sheet27">
    <tabColor rgb="FF00B050"/>
  </sheetPr>
  <dimension ref="A1:O65"/>
  <sheetViews>
    <sheetView zoomScaleNormal="100" zoomScaleSheetLayoutView="70" workbookViewId="0">
      <selection activeCell="P70" sqref="P70"/>
    </sheetView>
  </sheetViews>
  <sheetFormatPr defaultColWidth="12.140625" defaultRowHeight="12.75"/>
  <cols>
    <col min="1" max="1" width="12.28515625" style="618" customWidth="1"/>
    <col min="2" max="2" width="7.85546875" style="621" bestFit="1" customWidth="1"/>
    <col min="3" max="3" width="5.7109375" style="618" bestFit="1" customWidth="1"/>
    <col min="4" max="4" width="10" style="618" bestFit="1" customWidth="1"/>
    <col min="5" max="5" width="7.85546875" style="618" bestFit="1" customWidth="1"/>
    <col min="6" max="6" width="5.7109375" style="618" bestFit="1" customWidth="1"/>
    <col min="7" max="7" width="10" style="618" bestFit="1" customWidth="1"/>
    <col min="8" max="8" width="7.85546875" style="621" bestFit="1" customWidth="1"/>
    <col min="9" max="9" width="5.7109375" style="618" bestFit="1" customWidth="1"/>
    <col min="10" max="10" width="10" style="618" bestFit="1" customWidth="1"/>
    <col min="11" max="11" width="7.85546875" style="618" bestFit="1" customWidth="1"/>
    <col min="12" max="12" width="5.7109375" style="618" bestFit="1" customWidth="1"/>
    <col min="13" max="13" width="10" style="618" bestFit="1" customWidth="1"/>
    <col min="14" max="16384" width="12.140625" style="618"/>
  </cols>
  <sheetData>
    <row r="1" spans="1:15" ht="18.75" customHeight="1">
      <c r="A1" s="1741" t="s">
        <v>491</v>
      </c>
      <c r="B1" s="1742"/>
      <c r="C1" s="1742"/>
      <c r="D1" s="1742"/>
      <c r="E1" s="1742"/>
      <c r="F1" s="1742"/>
      <c r="G1" s="1742"/>
      <c r="H1" s="1742"/>
      <c r="I1" s="1742"/>
      <c r="J1" s="1742"/>
      <c r="K1" s="1742"/>
      <c r="L1" s="1742"/>
      <c r="M1" s="1743"/>
    </row>
    <row r="2" spans="1:15" ht="17.45" customHeight="1">
      <c r="A2" s="1744" t="s">
        <v>417</v>
      </c>
      <c r="B2" s="1745"/>
      <c r="C2" s="1745"/>
      <c r="D2" s="1745"/>
      <c r="E2" s="1745"/>
      <c r="F2" s="1745"/>
      <c r="G2" s="1745"/>
      <c r="H2" s="1745"/>
      <c r="I2" s="1745"/>
      <c r="J2" s="1745"/>
      <c r="K2" s="1745"/>
      <c r="L2" s="1745"/>
      <c r="M2" s="1746"/>
    </row>
    <row r="3" spans="1:15" ht="16.5" customHeight="1">
      <c r="A3" s="1747" t="s">
        <v>52</v>
      </c>
      <c r="B3" s="1750" t="s">
        <v>504</v>
      </c>
      <c r="C3" s="1751"/>
      <c r="D3" s="1751"/>
      <c r="E3" s="1751"/>
      <c r="F3" s="1751"/>
      <c r="G3" s="1752"/>
      <c r="H3" s="1750" t="s">
        <v>538</v>
      </c>
      <c r="I3" s="1751"/>
      <c r="J3" s="1751"/>
      <c r="K3" s="1751"/>
      <c r="L3" s="1751"/>
      <c r="M3" s="1753"/>
    </row>
    <row r="4" spans="1:15" ht="16.5" customHeight="1">
      <c r="A4" s="1748"/>
      <c r="B4" s="1750" t="s">
        <v>153</v>
      </c>
      <c r="C4" s="1751"/>
      <c r="D4" s="1752"/>
      <c r="E4" s="1750" t="s">
        <v>152</v>
      </c>
      <c r="F4" s="1751"/>
      <c r="G4" s="1752"/>
      <c r="H4" s="1750" t="s">
        <v>153</v>
      </c>
      <c r="I4" s="1751"/>
      <c r="J4" s="1752"/>
      <c r="K4" s="1750" t="s">
        <v>152</v>
      </c>
      <c r="L4" s="1751"/>
      <c r="M4" s="1753"/>
    </row>
    <row r="5" spans="1:15" s="619" customFormat="1" ht="28.5" customHeight="1">
      <c r="A5" s="1749"/>
      <c r="B5" s="1200" t="s">
        <v>74</v>
      </c>
      <c r="C5" s="1197" t="s">
        <v>132</v>
      </c>
      <c r="D5" s="1198" t="s">
        <v>313</v>
      </c>
      <c r="E5" s="1199" t="s">
        <v>74</v>
      </c>
      <c r="F5" s="1201" t="s">
        <v>132</v>
      </c>
      <c r="G5" s="1198" t="s">
        <v>313</v>
      </c>
      <c r="H5" s="1200" t="s">
        <v>74</v>
      </c>
      <c r="I5" s="1197" t="s">
        <v>132</v>
      </c>
      <c r="J5" s="1198" t="s">
        <v>313</v>
      </c>
      <c r="K5" s="1199" t="s">
        <v>74</v>
      </c>
      <c r="L5" s="1201" t="s">
        <v>132</v>
      </c>
      <c r="M5" s="1202" t="s">
        <v>313</v>
      </c>
    </row>
    <row r="6" spans="1:15" s="168" customFormat="1" ht="17.45" customHeight="1">
      <c r="A6" s="1066" t="s">
        <v>162</v>
      </c>
      <c r="B6" s="1068" t="s">
        <v>163</v>
      </c>
      <c r="C6" s="1069" t="s">
        <v>164</v>
      </c>
      <c r="D6" s="1069" t="s">
        <v>165</v>
      </c>
      <c r="E6" s="1068" t="s">
        <v>166</v>
      </c>
      <c r="F6" s="1069" t="s">
        <v>167</v>
      </c>
      <c r="G6" s="1069" t="s">
        <v>168</v>
      </c>
      <c r="H6" s="1068" t="s">
        <v>169</v>
      </c>
      <c r="I6" s="1069" t="s">
        <v>170</v>
      </c>
      <c r="J6" s="1069" t="s">
        <v>171</v>
      </c>
      <c r="K6" s="1068" t="s">
        <v>172</v>
      </c>
      <c r="L6" s="1069" t="s">
        <v>173</v>
      </c>
      <c r="M6" s="1434" t="s">
        <v>174</v>
      </c>
    </row>
    <row r="7" spans="1:15" ht="14.25" customHeight="1">
      <c r="A7" s="620" t="s">
        <v>37</v>
      </c>
      <c r="B7" s="622">
        <v>38.377000000000002</v>
      </c>
      <c r="C7" s="623">
        <v>3.9831031816459861</v>
      </c>
      <c r="D7" s="753">
        <v>0.47320537428023041</v>
      </c>
      <c r="E7" s="622">
        <v>9.1829999999999998</v>
      </c>
      <c r="F7" s="623">
        <v>26.748419795520078</v>
      </c>
      <c r="G7" s="753">
        <v>2.3974130240856362E-2</v>
      </c>
      <c r="H7" s="622">
        <v>43.559927766000001</v>
      </c>
      <c r="I7" s="623">
        <v>4.2888096128417219</v>
      </c>
      <c r="J7" s="753">
        <v>0.13505296834041219</v>
      </c>
      <c r="K7" s="622">
        <v>8.4746805980000008</v>
      </c>
      <c r="L7" s="623">
        <v>26.601546120593976</v>
      </c>
      <c r="M7" s="1371">
        <v>-7.7133769138625616E-2</v>
      </c>
    </row>
    <row r="8" spans="1:15" ht="14.25" customHeight="1">
      <c r="A8" s="624" t="s">
        <v>38</v>
      </c>
      <c r="B8" s="625">
        <v>40.33</v>
      </c>
      <c r="C8" s="626">
        <v>4.1858027286078281</v>
      </c>
      <c r="D8" s="756">
        <v>0.13628039331699196</v>
      </c>
      <c r="E8" s="625">
        <v>0.76600000000000001</v>
      </c>
      <c r="F8" s="626">
        <v>2.2312195974483702</v>
      </c>
      <c r="G8" s="756">
        <v>0.11661807580174921</v>
      </c>
      <c r="H8" s="625">
        <v>39.362828</v>
      </c>
      <c r="I8" s="626">
        <v>3.8755728894207384</v>
      </c>
      <c r="J8" s="756">
        <v>-2.3981453012645624E-2</v>
      </c>
      <c r="K8" s="625">
        <v>1.1393356020000001</v>
      </c>
      <c r="L8" s="626">
        <v>3.5763104240872896</v>
      </c>
      <c r="M8" s="1372">
        <v>0.4873832924281985</v>
      </c>
    </row>
    <row r="9" spans="1:15" ht="14.25" customHeight="1">
      <c r="A9" s="624" t="s">
        <v>39</v>
      </c>
      <c r="B9" s="625">
        <v>85.272999999999996</v>
      </c>
      <c r="C9" s="626">
        <v>8.8503832401828735</v>
      </c>
      <c r="D9" s="757">
        <v>0.13358768478145261</v>
      </c>
      <c r="E9" s="625">
        <v>0.78100000000000003</v>
      </c>
      <c r="F9" s="626">
        <v>2.274911887215636</v>
      </c>
      <c r="G9" s="757">
        <v>-9.5017381228273426E-2</v>
      </c>
      <c r="H9" s="625">
        <v>86.831885755000002</v>
      </c>
      <c r="I9" s="626">
        <v>8.5492663883132778</v>
      </c>
      <c r="J9" s="757">
        <v>1.8281117762949654E-2</v>
      </c>
      <c r="K9" s="625">
        <v>0.70503300000000002</v>
      </c>
      <c r="L9" s="626">
        <v>2.2130589641887921</v>
      </c>
      <c r="M9" s="1373">
        <v>-9.7268886043533939E-2</v>
      </c>
    </row>
    <row r="10" spans="1:15" ht="14.25" customHeight="1">
      <c r="A10" s="624" t="s">
        <v>40</v>
      </c>
      <c r="B10" s="625">
        <v>136.148</v>
      </c>
      <c r="C10" s="626">
        <v>14.130638975812012</v>
      </c>
      <c r="D10" s="757">
        <v>3.7958664013600658E-2</v>
      </c>
      <c r="E10" s="625"/>
      <c r="F10" s="626"/>
      <c r="G10" s="757"/>
      <c r="H10" s="625">
        <v>139.00021963999998</v>
      </c>
      <c r="I10" s="626">
        <v>13.685639732498691</v>
      </c>
      <c r="J10" s="757">
        <v>2.0949405352998114E-2</v>
      </c>
      <c r="K10" s="625"/>
      <c r="L10" s="626"/>
      <c r="M10" s="1373"/>
    </row>
    <row r="11" spans="1:15" ht="14.25" customHeight="1">
      <c r="A11" s="624" t="s">
        <v>41</v>
      </c>
      <c r="B11" s="625">
        <v>66.242000000000004</v>
      </c>
      <c r="C11" s="626">
        <v>6.875178387018094</v>
      </c>
      <c r="D11" s="757">
        <v>7.8930223467326921E-2</v>
      </c>
      <c r="E11" s="625">
        <v>2.871</v>
      </c>
      <c r="F11" s="626">
        <v>8.3627042614546614</v>
      </c>
      <c r="G11" s="757">
        <v>-5.5420852095601015E-3</v>
      </c>
      <c r="H11" s="625">
        <v>66.344762216999996</v>
      </c>
      <c r="I11" s="626">
        <v>6.5321516483335618</v>
      </c>
      <c r="J11" s="757">
        <v>1.5513151323932179E-3</v>
      </c>
      <c r="K11" s="625">
        <v>2.776208864</v>
      </c>
      <c r="L11" s="626">
        <v>8.7143636013287082</v>
      </c>
      <c r="M11" s="1373">
        <v>-3.3016766283524901E-2</v>
      </c>
    </row>
    <row r="12" spans="1:15" ht="14.25" customHeight="1">
      <c r="A12" s="624" t="s">
        <v>42</v>
      </c>
      <c r="B12" s="625">
        <v>175.41200000000001</v>
      </c>
      <c r="C12" s="626">
        <v>18.205802832396635</v>
      </c>
      <c r="D12" s="757">
        <v>0.14414302766236406</v>
      </c>
      <c r="E12" s="625">
        <v>11.964</v>
      </c>
      <c r="F12" s="626">
        <v>34.848970318371144</v>
      </c>
      <c r="G12" s="757">
        <v>2.765847792475528E-2</v>
      </c>
      <c r="H12" s="625">
        <v>155.61898267000001</v>
      </c>
      <c r="I12" s="626">
        <v>15.321884655113898</v>
      </c>
      <c r="J12" s="757">
        <v>-0.11283730491642531</v>
      </c>
      <c r="K12" s="625">
        <v>11.868164</v>
      </c>
      <c r="L12" s="626">
        <v>37.253499805913634</v>
      </c>
      <c r="M12" s="1373">
        <v>-8.0103644266131934E-3</v>
      </c>
    </row>
    <row r="13" spans="1:15" ht="14.25" customHeight="1">
      <c r="A13" s="1380" t="s">
        <v>294</v>
      </c>
      <c r="B13" s="625">
        <v>0.16</v>
      </c>
      <c r="C13" s="626">
        <v>1.6606209684533906E-2</v>
      </c>
      <c r="D13" s="758">
        <v>-0.92198927352510973</v>
      </c>
      <c r="E13" s="625"/>
      <c r="F13" s="626"/>
      <c r="G13" s="758"/>
      <c r="H13" s="625"/>
      <c r="I13" s="626"/>
      <c r="J13" s="758"/>
      <c r="K13" s="625"/>
      <c r="L13" s="626"/>
      <c r="M13" s="1374"/>
    </row>
    <row r="14" spans="1:15" ht="14.25" customHeight="1">
      <c r="A14" s="624" t="s">
        <v>43</v>
      </c>
      <c r="B14" s="625">
        <v>205.643</v>
      </c>
      <c r="C14" s="626">
        <v>21.343442363478786</v>
      </c>
      <c r="D14" s="758">
        <v>6.6496906457284233E-2</v>
      </c>
      <c r="E14" s="625">
        <v>0.45600000000000002</v>
      </c>
      <c r="F14" s="626">
        <v>1.3282456089248784</v>
      </c>
      <c r="G14" s="758">
        <v>3.4013605442176902E-2</v>
      </c>
      <c r="H14" s="625">
        <v>224.69461447999998</v>
      </c>
      <c r="I14" s="626">
        <v>22.122911399494274</v>
      </c>
      <c r="J14" s="758">
        <v>9.2644118593873767E-2</v>
      </c>
      <c r="K14" s="625">
        <v>0.47902099999999997</v>
      </c>
      <c r="L14" s="626">
        <v>1.5036199980492817</v>
      </c>
      <c r="M14" s="1374">
        <v>5.0484649122806924E-2</v>
      </c>
    </row>
    <row r="15" spans="1:15" ht="14.25" customHeight="1">
      <c r="A15" s="627" t="s">
        <v>44</v>
      </c>
      <c r="B15" s="628">
        <v>0.2</v>
      </c>
      <c r="C15" s="629">
        <v>2.0757762105667384E-2</v>
      </c>
      <c r="D15" s="754">
        <v>0</v>
      </c>
      <c r="E15" s="628"/>
      <c r="F15" s="629"/>
      <c r="G15" s="754"/>
      <c r="H15" s="628">
        <v>0.2</v>
      </c>
      <c r="I15" s="629">
        <v>1.9691536844968244E-2</v>
      </c>
      <c r="J15" s="754">
        <v>0</v>
      </c>
      <c r="K15" s="628"/>
      <c r="L15" s="629"/>
      <c r="M15" s="1375"/>
    </row>
    <row r="16" spans="1:15" s="617" customFormat="1" ht="15.75" customHeight="1">
      <c r="A16" s="1061" t="s">
        <v>400</v>
      </c>
      <c r="B16" s="1063">
        <v>747.78500000000008</v>
      </c>
      <c r="C16" s="1054">
        <v>77.61171568093242</v>
      </c>
      <c r="D16" s="1056">
        <v>0.10338828744151315</v>
      </c>
      <c r="E16" s="1062">
        <v>26.021000000000001</v>
      </c>
      <c r="F16" s="1054">
        <v>75.794471468934773</v>
      </c>
      <c r="G16" s="1065">
        <v>2.0951857809863951E-2</v>
      </c>
      <c r="H16" s="1063">
        <v>755.61322052800006</v>
      </c>
      <c r="I16" s="1054">
        <v>74.395927862861129</v>
      </c>
      <c r="J16" s="1056">
        <v>1.0468544472007292E-2</v>
      </c>
      <c r="K16" s="1062">
        <v>25.442443064000003</v>
      </c>
      <c r="L16" s="1054">
        <v>79.862398914161687</v>
      </c>
      <c r="M16" s="1376">
        <v>-2.2234231428461558E-2</v>
      </c>
      <c r="O16" s="618"/>
    </row>
    <row r="17" spans="1:13" ht="14.25" customHeight="1">
      <c r="A17" s="624" t="s">
        <v>45</v>
      </c>
      <c r="B17" s="625">
        <v>64.09</v>
      </c>
      <c r="C17" s="626">
        <v>6.651824866761114</v>
      </c>
      <c r="D17" s="753">
        <v>6.9271580633321117E-2</v>
      </c>
      <c r="E17" s="625">
        <v>5.931</v>
      </c>
      <c r="F17" s="626">
        <v>17.275931373976871</v>
      </c>
      <c r="G17" s="753">
        <v>-0.17613557438533128</v>
      </c>
      <c r="H17" s="625">
        <v>64.199395965999997</v>
      </c>
      <c r="I17" s="626">
        <v>6.3209238554459732</v>
      </c>
      <c r="J17" s="753">
        <v>1.7069116242782634E-3</v>
      </c>
      <c r="K17" s="625">
        <v>4.8070000000000004</v>
      </c>
      <c r="L17" s="626">
        <v>15.088902846895852</v>
      </c>
      <c r="M17" s="1371">
        <v>-0.18951272972517277</v>
      </c>
    </row>
    <row r="18" spans="1:13" ht="14.25" customHeight="1">
      <c r="A18" s="624" t="s">
        <v>51</v>
      </c>
      <c r="B18" s="625"/>
      <c r="C18" s="626"/>
      <c r="D18" s="758"/>
      <c r="E18" s="625">
        <v>8.0000000000000002E-3</v>
      </c>
      <c r="F18" s="626">
        <v>2.3302554542541723E-2</v>
      </c>
      <c r="G18" s="758">
        <v>-0.2</v>
      </c>
      <c r="H18" s="625"/>
      <c r="I18" s="626"/>
      <c r="J18" s="758"/>
      <c r="K18" s="625">
        <v>1.0236E-2</v>
      </c>
      <c r="L18" s="626">
        <v>3.2130228737429982E-2</v>
      </c>
      <c r="M18" s="1374">
        <v>0.27950000000000003</v>
      </c>
    </row>
    <row r="19" spans="1:13" ht="14.25" customHeight="1">
      <c r="A19" s="624" t="s">
        <v>46</v>
      </c>
      <c r="B19" s="625">
        <v>1.52</v>
      </c>
      <c r="C19" s="626">
        <v>0.15775899200307211</v>
      </c>
      <c r="D19" s="756">
        <v>45.060606060606062</v>
      </c>
      <c r="E19" s="625"/>
      <c r="F19" s="626"/>
      <c r="G19" s="756"/>
      <c r="H19" s="625">
        <v>4.01</v>
      </c>
      <c r="I19" s="626">
        <v>0.39481531374161327</v>
      </c>
      <c r="J19" s="756">
        <v>1.638157894736842</v>
      </c>
      <c r="K19" s="625"/>
      <c r="L19" s="626"/>
      <c r="M19" s="1372"/>
    </row>
    <row r="20" spans="1:13" ht="14.25" customHeight="1">
      <c r="A20" s="624" t="s">
        <v>47</v>
      </c>
      <c r="B20" s="625">
        <v>7.4999999999999997E-2</v>
      </c>
      <c r="C20" s="626">
        <v>7.784160789625268E-3</v>
      </c>
      <c r="D20" s="757">
        <v>3.4117647058823524</v>
      </c>
      <c r="E20" s="625">
        <v>0.13100000000000001</v>
      </c>
      <c r="F20" s="626">
        <v>0.38157933063412075</v>
      </c>
      <c r="G20" s="757">
        <v>0.89855072463768104</v>
      </c>
      <c r="H20" s="625">
        <v>9.8349999999999993E-2</v>
      </c>
      <c r="I20" s="626">
        <v>9.6833132435131322E-3</v>
      </c>
      <c r="J20" s="757">
        <v>0.3113333333333333</v>
      </c>
      <c r="K20" s="625">
        <v>8.9674699999999996E-2</v>
      </c>
      <c r="L20" s="626">
        <v>0.2814838435873791</v>
      </c>
      <c r="M20" s="1373">
        <v>-0.31546030534351149</v>
      </c>
    </row>
    <row r="21" spans="1:13" ht="14.25" customHeight="1">
      <c r="A21" s="624" t="s">
        <v>94</v>
      </c>
      <c r="B21" s="625">
        <v>0.33600000000000002</v>
      </c>
      <c r="C21" s="626">
        <v>3.4873040337521206E-2</v>
      </c>
      <c r="D21" s="757">
        <v>0.10163934426229518</v>
      </c>
      <c r="E21" s="625"/>
      <c r="F21" s="626"/>
      <c r="G21" s="757"/>
      <c r="H21" s="625">
        <v>0.13058799999999998</v>
      </c>
      <c r="I21" s="626">
        <v>1.2857392067553564E-2</v>
      </c>
      <c r="J21" s="757">
        <v>-0.61134523809523822</v>
      </c>
      <c r="K21" s="625"/>
      <c r="L21" s="626"/>
      <c r="M21" s="1373"/>
    </row>
    <row r="22" spans="1:13" ht="14.25" customHeight="1">
      <c r="A22" s="624" t="s">
        <v>263</v>
      </c>
      <c r="B22" s="625">
        <v>6.7009999999999996</v>
      </c>
      <c r="C22" s="626">
        <v>0.69548881935038565</v>
      </c>
      <c r="D22" s="758">
        <v>-0.4321667655283451</v>
      </c>
      <c r="E22" s="625"/>
      <c r="F22" s="626"/>
      <c r="G22" s="758"/>
      <c r="H22" s="625">
        <v>16.3233678</v>
      </c>
      <c r="I22" s="626">
        <v>1.6071609923383412</v>
      </c>
      <c r="J22" s="758">
        <v>1.4359599761229667</v>
      </c>
      <c r="K22" s="625"/>
      <c r="L22" s="626"/>
      <c r="M22" s="1374"/>
    </row>
    <row r="23" spans="1:13" ht="14.25" customHeight="1">
      <c r="A23" s="624" t="s">
        <v>54</v>
      </c>
      <c r="B23" s="625">
        <v>0.33300000000000002</v>
      </c>
      <c r="C23" s="626">
        <v>3.4561673905936195E-2</v>
      </c>
      <c r="D23" s="757">
        <v>9.9009900990099098E-2</v>
      </c>
      <c r="E23" s="625"/>
      <c r="F23" s="626"/>
      <c r="G23" s="757"/>
      <c r="H23" s="625">
        <v>0.49753399999999998</v>
      </c>
      <c r="I23" s="626">
        <v>4.8986045463122151E-2</v>
      </c>
      <c r="J23" s="757">
        <v>0.49409609609609595</v>
      </c>
      <c r="K23" s="625"/>
      <c r="L23" s="626"/>
      <c r="M23" s="1373"/>
    </row>
    <row r="24" spans="1:13" ht="14.25" customHeight="1">
      <c r="A24" s="624" t="s">
        <v>304</v>
      </c>
      <c r="B24" s="625">
        <v>34.39</v>
      </c>
      <c r="C24" s="626">
        <v>3.5692971940695069</v>
      </c>
      <c r="D24" s="757">
        <v>0.4821359306986166</v>
      </c>
      <c r="E24" s="625"/>
      <c r="F24" s="626"/>
      <c r="G24" s="757"/>
      <c r="H24" s="625">
        <v>42.033971145000002</v>
      </c>
      <c r="I24" s="626">
        <v>4.1385674577104981</v>
      </c>
      <c r="J24" s="757">
        <v>0.22227307778423966</v>
      </c>
      <c r="K24" s="625"/>
      <c r="L24" s="626"/>
      <c r="M24" s="1373"/>
    </row>
    <row r="25" spans="1:13" ht="14.25" customHeight="1">
      <c r="A25" s="624" t="s">
        <v>220</v>
      </c>
      <c r="B25" s="625">
        <v>18.440000000000001</v>
      </c>
      <c r="C25" s="626">
        <v>1.9138656661425328</v>
      </c>
      <c r="D25" s="758">
        <v>-1.4641444907555701E-2</v>
      </c>
      <c r="E25" s="625"/>
      <c r="F25" s="626"/>
      <c r="G25" s="758"/>
      <c r="H25" s="625">
        <v>18.164936109999999</v>
      </c>
      <c r="I25" s="626">
        <v>1.7884775434827953</v>
      </c>
      <c r="J25" s="758">
        <v>-1.491669685466388E-2</v>
      </c>
      <c r="K25" s="625"/>
      <c r="L25" s="626"/>
      <c r="M25" s="1374"/>
    </row>
    <row r="26" spans="1:13" ht="14.25" customHeight="1">
      <c r="A26" s="624" t="s">
        <v>335</v>
      </c>
      <c r="B26" s="625">
        <v>4.0030000000000001</v>
      </c>
      <c r="C26" s="626">
        <v>0.41546660854493267</v>
      </c>
      <c r="D26" s="756">
        <v>0.10671827481338129</v>
      </c>
      <c r="E26" s="625"/>
      <c r="F26" s="626"/>
      <c r="G26" s="756"/>
      <c r="H26" s="625">
        <v>4.0000010000000001</v>
      </c>
      <c r="I26" s="626">
        <v>0.3938308353570491</v>
      </c>
      <c r="J26" s="756">
        <v>-7.4918810891830474E-4</v>
      </c>
      <c r="K26" s="625"/>
      <c r="L26" s="626"/>
      <c r="M26" s="1372"/>
    </row>
    <row r="27" spans="1:13" ht="14.25" customHeight="1">
      <c r="A27" s="624" t="s">
        <v>518</v>
      </c>
      <c r="B27" s="625">
        <v>2.5</v>
      </c>
      <c r="C27" s="626">
        <v>0.25947202632084232</v>
      </c>
      <c r="D27" s="758">
        <v>0</v>
      </c>
      <c r="E27" s="625"/>
      <c r="F27" s="626"/>
      <c r="G27" s="758"/>
      <c r="H27" s="625">
        <v>2.5</v>
      </c>
      <c r="I27" s="626">
        <v>0.24614421056210306</v>
      </c>
      <c r="J27" s="758">
        <v>0</v>
      </c>
      <c r="K27" s="625"/>
      <c r="L27" s="626"/>
      <c r="M27" s="1374"/>
    </row>
    <row r="28" spans="1:13" ht="14.25" customHeight="1">
      <c r="A28" s="624" t="s">
        <v>333</v>
      </c>
      <c r="B28" s="625">
        <v>8.5090000000000003</v>
      </c>
      <c r="C28" s="626">
        <v>0.88313898878561881</v>
      </c>
      <c r="D28" s="754">
        <v>6.3625000000000043E-2</v>
      </c>
      <c r="E28" s="625"/>
      <c r="F28" s="626"/>
      <c r="G28" s="754"/>
      <c r="H28" s="625">
        <v>11.715622003</v>
      </c>
      <c r="I28" s="626">
        <v>1.1534930116689757</v>
      </c>
      <c r="J28" s="754">
        <v>0.37685062909860145</v>
      </c>
      <c r="K28" s="625"/>
      <c r="L28" s="626"/>
      <c r="M28" s="1375"/>
    </row>
    <row r="29" spans="1:13" ht="14.25" customHeight="1">
      <c r="A29" s="624" t="s">
        <v>419</v>
      </c>
      <c r="B29" s="625">
        <v>2.5</v>
      </c>
      <c r="C29" s="626">
        <v>0.25947202632084232</v>
      </c>
      <c r="D29" s="756">
        <v>0.55472636815920384</v>
      </c>
      <c r="E29" s="625"/>
      <c r="F29" s="626"/>
      <c r="G29" s="756"/>
      <c r="H29" s="625">
        <v>3.5</v>
      </c>
      <c r="I29" s="626">
        <v>0.34460189478694425</v>
      </c>
      <c r="J29" s="756">
        <v>0.4</v>
      </c>
      <c r="K29" s="625"/>
      <c r="L29" s="626"/>
      <c r="M29" s="1372"/>
    </row>
    <row r="30" spans="1:13" ht="14.25" customHeight="1">
      <c r="A30" s="624" t="s">
        <v>392</v>
      </c>
      <c r="B30" s="625">
        <v>1</v>
      </c>
      <c r="C30" s="626">
        <v>0.10378881052833691</v>
      </c>
      <c r="D30" s="757">
        <v>0.8148820326678764</v>
      </c>
      <c r="E30" s="625"/>
      <c r="F30" s="626"/>
      <c r="G30" s="757"/>
      <c r="H30" s="625">
        <v>0.50503900000000002</v>
      </c>
      <c r="I30" s="626">
        <v>4.9724970383229587E-2</v>
      </c>
      <c r="J30" s="757">
        <v>-0.49496099999999998</v>
      </c>
      <c r="K30" s="625"/>
      <c r="L30" s="626"/>
      <c r="M30" s="1373"/>
    </row>
    <row r="31" spans="1:13" ht="14.25" customHeight="1">
      <c r="A31" s="624" t="s">
        <v>421</v>
      </c>
      <c r="B31" s="625">
        <v>5</v>
      </c>
      <c r="C31" s="626">
        <v>0.51894405264168464</v>
      </c>
      <c r="D31" s="757">
        <v>1.5693730729701953</v>
      </c>
      <c r="E31" s="625"/>
      <c r="F31" s="626"/>
      <c r="G31" s="757"/>
      <c r="H31" s="625">
        <v>5.8113694999999996</v>
      </c>
      <c r="I31" s="626">
        <v>0.57217398314487333</v>
      </c>
      <c r="J31" s="757">
        <v>0.16227389999999992</v>
      </c>
      <c r="K31" s="625"/>
      <c r="L31" s="626"/>
      <c r="M31" s="1373"/>
    </row>
    <row r="32" spans="1:13" ht="14.25" customHeight="1">
      <c r="A32" s="624" t="s">
        <v>393</v>
      </c>
      <c r="B32" s="625">
        <v>12.641</v>
      </c>
      <c r="C32" s="626">
        <v>1.3119943538887069</v>
      </c>
      <c r="D32" s="757">
        <v>0.26082186315579498</v>
      </c>
      <c r="E32" s="625"/>
      <c r="F32" s="626"/>
      <c r="G32" s="757"/>
      <c r="H32" s="625">
        <v>17.20165493</v>
      </c>
      <c r="I32" s="626">
        <v>1.6936351092426232</v>
      </c>
      <c r="J32" s="757">
        <v>0.36078276481291038</v>
      </c>
      <c r="K32" s="625"/>
      <c r="L32" s="626"/>
      <c r="M32" s="1373"/>
    </row>
    <row r="33" spans="1:15" ht="14.25" customHeight="1">
      <c r="A33" s="624" t="s">
        <v>465</v>
      </c>
      <c r="B33" s="625">
        <v>4.6280000000000001</v>
      </c>
      <c r="C33" s="626">
        <v>0.48033461512514325</v>
      </c>
      <c r="D33" s="757">
        <v>8.1282051282051295</v>
      </c>
      <c r="E33" s="625"/>
      <c r="F33" s="626"/>
      <c r="G33" s="757"/>
      <c r="H33" s="625">
        <v>7</v>
      </c>
      <c r="I33" s="626">
        <v>0.6892037895738885</v>
      </c>
      <c r="J33" s="757">
        <v>0.51253241140881589</v>
      </c>
      <c r="K33" s="625"/>
      <c r="L33" s="626"/>
      <c r="M33" s="1373"/>
    </row>
    <row r="34" spans="1:15" ht="14.25" customHeight="1">
      <c r="A34" s="624" t="s">
        <v>467</v>
      </c>
      <c r="B34" s="625">
        <v>1.2509999999999999</v>
      </c>
      <c r="C34" s="626">
        <v>0.12983980197094946</v>
      </c>
      <c r="D34" s="757">
        <v>3.022508038585209</v>
      </c>
      <c r="E34" s="625"/>
      <c r="F34" s="626"/>
      <c r="G34" s="757"/>
      <c r="H34" s="625">
        <v>3.801301</v>
      </c>
      <c r="I34" s="626">
        <v>0.37426729350157312</v>
      </c>
      <c r="J34" s="757">
        <v>2.0386099120703438</v>
      </c>
      <c r="K34" s="625"/>
      <c r="L34" s="626"/>
      <c r="M34" s="1373"/>
    </row>
    <row r="35" spans="1:15" ht="14.25" customHeight="1">
      <c r="A35" s="624" t="s">
        <v>523</v>
      </c>
      <c r="B35" s="625">
        <v>2</v>
      </c>
      <c r="C35" s="626">
        <v>0.20757762105667382</v>
      </c>
      <c r="D35" s="757">
        <v>1</v>
      </c>
      <c r="E35" s="625"/>
      <c r="F35" s="626"/>
      <c r="G35" s="757"/>
      <c r="H35" s="625">
        <v>2.82</v>
      </c>
      <c r="I35" s="626">
        <v>0.27765066951405221</v>
      </c>
      <c r="J35" s="757">
        <v>0.40999999999999992</v>
      </c>
      <c r="K35" s="625"/>
      <c r="L35" s="626"/>
      <c r="M35" s="1373"/>
    </row>
    <row r="36" spans="1:15" s="617" customFormat="1" ht="16.5" customHeight="1">
      <c r="A36" s="1061" t="s">
        <v>136</v>
      </c>
      <c r="B36" s="1064">
        <v>917.70200000000023</v>
      </c>
      <c r="C36" s="1063">
        <v>95.24719899947587</v>
      </c>
      <c r="D36" s="1056">
        <v>0.11765357807908215</v>
      </c>
      <c r="E36" s="1062">
        <v>32.091000000000001</v>
      </c>
      <c r="F36" s="1054">
        <v>93.475284728088312</v>
      </c>
      <c r="G36" s="1065">
        <v>-2.0570730962917731E-2</v>
      </c>
      <c r="H36" s="1064">
        <v>959.92635098200003</v>
      </c>
      <c r="I36" s="1063">
        <v>94.512125544089855</v>
      </c>
      <c r="J36" s="1056">
        <v>4.6010961054895591E-2</v>
      </c>
      <c r="K36" s="1062">
        <v>30.349353764000004</v>
      </c>
      <c r="L36" s="1054">
        <v>95.264915833382361</v>
      </c>
      <c r="M36" s="1376">
        <v>-5.4272108566264604E-2</v>
      </c>
      <c r="O36" s="618"/>
    </row>
    <row r="37" spans="1:15" ht="14.25" customHeight="1">
      <c r="A37" s="624" t="s">
        <v>215</v>
      </c>
      <c r="B37" s="625">
        <v>5.4089999999999998</v>
      </c>
      <c r="C37" s="626">
        <v>0.56139367614777436</v>
      </c>
      <c r="D37" s="755">
        <v>6.2671905697445962E-2</v>
      </c>
      <c r="E37" s="625">
        <v>0.51500000000000001</v>
      </c>
      <c r="F37" s="626">
        <v>1.5001019486761236</v>
      </c>
      <c r="G37" s="755">
        <v>-0.24153166421207661</v>
      </c>
      <c r="H37" s="625">
        <v>5.7471558599999994</v>
      </c>
      <c r="I37" s="626">
        <v>0.56585165685482564</v>
      </c>
      <c r="J37" s="755">
        <v>6.2517260122018789E-2</v>
      </c>
      <c r="K37" s="625">
        <v>0.46811200000000003</v>
      </c>
      <c r="L37" s="626">
        <v>1.4693772601344106</v>
      </c>
      <c r="M37" s="1377">
        <v>-9.1044660194174731E-2</v>
      </c>
    </row>
    <row r="38" spans="1:15" ht="14.25" customHeight="1">
      <c r="A38" s="624" t="s">
        <v>296</v>
      </c>
      <c r="B38" s="625">
        <v>1</v>
      </c>
      <c r="C38" s="626">
        <v>0.10378881052833691</v>
      </c>
      <c r="D38" s="757">
        <v>0</v>
      </c>
      <c r="E38" s="625"/>
      <c r="F38" s="626"/>
      <c r="G38" s="757"/>
      <c r="H38" s="625">
        <v>0.40744999999999998</v>
      </c>
      <c r="I38" s="626">
        <v>4.0116583437411549E-2</v>
      </c>
      <c r="J38" s="757">
        <v>-0.59255000000000002</v>
      </c>
      <c r="K38" s="625"/>
      <c r="L38" s="626"/>
      <c r="M38" s="1373"/>
    </row>
    <row r="39" spans="1:15" ht="14.25" customHeight="1">
      <c r="A39" s="624" t="s">
        <v>298</v>
      </c>
      <c r="B39" s="625">
        <v>1.2929999999999999</v>
      </c>
      <c r="C39" s="626">
        <v>0.13419893201313962</v>
      </c>
      <c r="D39" s="757">
        <v>-0.28206551915602446</v>
      </c>
      <c r="E39" s="625"/>
      <c r="F39" s="626"/>
      <c r="G39" s="757"/>
      <c r="H39" s="625">
        <v>1.4882882</v>
      </c>
      <c r="I39" s="626">
        <v>0.14653340963115732</v>
      </c>
      <c r="J39" s="757">
        <v>0.15103495746326376</v>
      </c>
      <c r="K39" s="625"/>
      <c r="L39" s="626"/>
      <c r="M39" s="1373"/>
    </row>
    <row r="40" spans="1:15" ht="14.25" customHeight="1">
      <c r="A40" s="624" t="s">
        <v>122</v>
      </c>
      <c r="B40" s="625">
        <v>0.65100000000000002</v>
      </c>
      <c r="C40" s="626">
        <v>6.7566515653947334E-2</v>
      </c>
      <c r="D40" s="757">
        <v>-4.9635036496350406E-2</v>
      </c>
      <c r="E40" s="625"/>
      <c r="F40" s="626"/>
      <c r="G40" s="757"/>
      <c r="H40" s="625">
        <v>0.30676299999999995</v>
      </c>
      <c r="I40" s="626">
        <v>3.020317458586496E-2</v>
      </c>
      <c r="J40" s="757">
        <v>-0.52878187403993859</v>
      </c>
      <c r="K40" s="625"/>
      <c r="L40" s="626"/>
      <c r="M40" s="1373"/>
    </row>
    <row r="41" spans="1:15" ht="14.25" customHeight="1">
      <c r="A41" s="624" t="s">
        <v>297</v>
      </c>
      <c r="B41" s="625">
        <v>3.92</v>
      </c>
      <c r="C41" s="626">
        <v>0.40685213727108072</v>
      </c>
      <c r="D41" s="757">
        <v>0.16666666666666669</v>
      </c>
      <c r="E41" s="625"/>
      <c r="F41" s="626"/>
      <c r="G41" s="757"/>
      <c r="H41" s="625">
        <v>3.9199976999999997</v>
      </c>
      <c r="I41" s="626">
        <v>0.38595389570870381</v>
      </c>
      <c r="J41" s="757">
        <v>-5.8673469393690599E-7</v>
      </c>
      <c r="K41" s="625"/>
      <c r="L41" s="626"/>
      <c r="M41" s="1373"/>
    </row>
    <row r="42" spans="1:15" ht="14.25" customHeight="1">
      <c r="A42" s="624" t="s">
        <v>155</v>
      </c>
      <c r="B42" s="625">
        <v>7.907</v>
      </c>
      <c r="C42" s="626">
        <v>0.82065812484756007</v>
      </c>
      <c r="D42" s="757">
        <v>0.31783333333333336</v>
      </c>
      <c r="E42" s="625"/>
      <c r="F42" s="626"/>
      <c r="G42" s="757"/>
      <c r="H42" s="625">
        <v>13.4474</v>
      </c>
      <c r="I42" s="626">
        <v>1.3239998628451297</v>
      </c>
      <c r="J42" s="757">
        <v>0.70069558618945238</v>
      </c>
      <c r="K42" s="625"/>
      <c r="L42" s="626"/>
      <c r="M42" s="1373"/>
    </row>
    <row r="43" spans="1:15" ht="14.25" customHeight="1">
      <c r="A43" s="624" t="s">
        <v>142</v>
      </c>
      <c r="B43" s="625"/>
      <c r="C43" s="626"/>
      <c r="D43" s="757"/>
      <c r="E43" s="625">
        <v>0.14599999999999999</v>
      </c>
      <c r="F43" s="626">
        <v>0.42527162040138639</v>
      </c>
      <c r="G43" s="757">
        <v>-0.24352331606217623</v>
      </c>
      <c r="H43" s="625"/>
      <c r="I43" s="626"/>
      <c r="J43" s="757"/>
      <c r="K43" s="625">
        <v>0.11781999999999999</v>
      </c>
      <c r="L43" s="626">
        <v>0.36983035852325136</v>
      </c>
      <c r="M43" s="1373">
        <v>-0.19301369863013698</v>
      </c>
    </row>
    <row r="44" spans="1:15" ht="14.25" customHeight="1">
      <c r="A44" s="624" t="s">
        <v>247</v>
      </c>
      <c r="B44" s="625">
        <v>18.276</v>
      </c>
      <c r="C44" s="626">
        <v>1.8968443012158855</v>
      </c>
      <c r="D44" s="757">
        <v>0.1204021579205492</v>
      </c>
      <c r="E44" s="625"/>
      <c r="F44" s="626"/>
      <c r="G44" s="757"/>
      <c r="H44" s="625">
        <v>18.118747899999999</v>
      </c>
      <c r="I44" s="626">
        <v>1.7839299592877049</v>
      </c>
      <c r="J44" s="757">
        <v>-8.6042952506019312E-3</v>
      </c>
      <c r="K44" s="625"/>
      <c r="L44" s="626"/>
      <c r="M44" s="1373"/>
    </row>
    <row r="45" spans="1:15" ht="14.25" customHeight="1">
      <c r="A45" s="624" t="s">
        <v>305</v>
      </c>
      <c r="B45" s="625"/>
      <c r="C45" s="626"/>
      <c r="D45" s="757"/>
      <c r="E45" s="625">
        <v>0.32900000000000001</v>
      </c>
      <c r="F45" s="626">
        <v>0.95831755556202847</v>
      </c>
      <c r="G45" s="757">
        <v>-6.5340909090908991E-2</v>
      </c>
      <c r="H45" s="625"/>
      <c r="I45" s="626"/>
      <c r="J45" s="757"/>
      <c r="K45" s="625">
        <v>0.30299999999999999</v>
      </c>
      <c r="L45" s="626">
        <v>0.95109997141864833</v>
      </c>
      <c r="M45" s="1373">
        <v>-7.902735562310037E-2</v>
      </c>
    </row>
    <row r="46" spans="1:15" ht="14.25" customHeight="1">
      <c r="A46" s="630" t="s">
        <v>248</v>
      </c>
      <c r="B46" s="625">
        <v>0.105</v>
      </c>
      <c r="C46" s="626">
        <v>1.0897825105475375E-2</v>
      </c>
      <c r="D46" s="757">
        <v>-0.47500000000000003</v>
      </c>
      <c r="E46" s="625"/>
      <c r="F46" s="626"/>
      <c r="G46" s="757"/>
      <c r="H46" s="625">
        <v>4.1113999999999998E-2</v>
      </c>
      <c r="I46" s="626">
        <v>4.0479892292201213E-3</v>
      </c>
      <c r="J46" s="757">
        <v>-0.60843809523809522</v>
      </c>
      <c r="K46" s="625"/>
      <c r="L46" s="626"/>
      <c r="M46" s="1373"/>
    </row>
    <row r="47" spans="1:15" ht="14.25" customHeight="1">
      <c r="A47" s="624" t="s">
        <v>227</v>
      </c>
      <c r="B47" s="625">
        <v>1E-3</v>
      </c>
      <c r="C47" s="626">
        <v>1.0378881052833691E-4</v>
      </c>
      <c r="D47" s="757">
        <v>-0.99447513812154698</v>
      </c>
      <c r="E47" s="625"/>
      <c r="F47" s="626"/>
      <c r="G47" s="757"/>
      <c r="H47" s="625">
        <v>0</v>
      </c>
      <c r="I47" s="626">
        <v>0</v>
      </c>
      <c r="J47" s="757">
        <v>-1</v>
      </c>
      <c r="K47" s="625"/>
      <c r="L47" s="626"/>
      <c r="M47" s="1373"/>
    </row>
    <row r="48" spans="1:15" ht="14.25" customHeight="1">
      <c r="A48" s="624" t="s">
        <v>420</v>
      </c>
      <c r="B48" s="625"/>
      <c r="C48" s="626"/>
      <c r="D48" s="757"/>
      <c r="E48" s="625">
        <v>0.75</v>
      </c>
      <c r="F48" s="626">
        <v>2.1846144883632865</v>
      </c>
      <c r="G48" s="757">
        <v>1.0891364902506964</v>
      </c>
      <c r="H48" s="625"/>
      <c r="I48" s="626"/>
      <c r="J48" s="757"/>
      <c r="K48" s="625">
        <v>0.11956399999999999</v>
      </c>
      <c r="L48" s="626">
        <v>0.37530467651055865</v>
      </c>
      <c r="M48" s="1373">
        <v>-0.84058133333333329</v>
      </c>
    </row>
    <row r="49" spans="1:15" ht="14.25" customHeight="1">
      <c r="A49" s="630" t="s">
        <v>324</v>
      </c>
      <c r="B49" s="625">
        <v>0.45</v>
      </c>
      <c r="C49" s="626">
        <v>4.6704964737751611E-2</v>
      </c>
      <c r="D49" s="757">
        <v>0</v>
      </c>
      <c r="E49" s="625">
        <v>0.5</v>
      </c>
      <c r="F49" s="626">
        <v>1.4564096589088578</v>
      </c>
      <c r="G49" s="757">
        <v>0</v>
      </c>
      <c r="H49" s="625">
        <v>4.6556E-2</v>
      </c>
      <c r="I49" s="626">
        <v>4.5837959467717078E-3</v>
      </c>
      <c r="J49" s="757">
        <v>-0.89654222222222224</v>
      </c>
      <c r="K49" s="625">
        <v>0.5</v>
      </c>
      <c r="L49" s="626">
        <v>1.5694719000307729</v>
      </c>
      <c r="M49" s="1373">
        <v>0</v>
      </c>
    </row>
    <row r="50" spans="1:15" ht="14.25" customHeight="1">
      <c r="A50" s="624" t="s">
        <v>212</v>
      </c>
      <c r="B50" s="625">
        <v>1.44</v>
      </c>
      <c r="C50" s="626">
        <v>0.14945588716080516</v>
      </c>
      <c r="D50" s="757">
        <v>0.2</v>
      </c>
      <c r="E50" s="625"/>
      <c r="F50" s="626"/>
      <c r="G50" s="757"/>
      <c r="H50" s="625">
        <v>1.68</v>
      </c>
      <c r="I50" s="626">
        <v>0.16540890949773324</v>
      </c>
      <c r="J50" s="757">
        <v>0.16666666666666666</v>
      </c>
      <c r="K50" s="625"/>
      <c r="L50" s="626"/>
      <c r="M50" s="1373"/>
    </row>
    <row r="51" spans="1:15" ht="14.25" customHeight="1">
      <c r="A51" s="624" t="s">
        <v>481</v>
      </c>
      <c r="B51" s="625">
        <v>2.1259999999999999</v>
      </c>
      <c r="C51" s="626">
        <v>0.22065501118324429</v>
      </c>
      <c r="D51" s="757">
        <v>2.0678210678210678</v>
      </c>
      <c r="E51" s="625"/>
      <c r="F51" s="626"/>
      <c r="G51" s="757"/>
      <c r="H51" s="625">
        <v>2.0846832800000001</v>
      </c>
      <c r="I51" s="626">
        <v>0.20525308809104625</v>
      </c>
      <c r="J51" s="757">
        <v>-1.9434016933207787E-2</v>
      </c>
      <c r="K51" s="625"/>
      <c r="L51" s="626"/>
      <c r="M51" s="1373"/>
    </row>
    <row r="52" spans="1:15" ht="14.25" customHeight="1">
      <c r="A52" s="624" t="s">
        <v>475</v>
      </c>
      <c r="B52" s="625">
        <v>0.3</v>
      </c>
      <c r="C52" s="626">
        <v>3.1136643158501072E-2</v>
      </c>
      <c r="D52" s="757">
        <v>11.499999999999998</v>
      </c>
      <c r="E52" s="625"/>
      <c r="F52" s="626"/>
      <c r="G52" s="757"/>
      <c r="H52" s="625">
        <v>0.25005500000000003</v>
      </c>
      <c r="I52" s="626">
        <v>2.4619836228842673E-2</v>
      </c>
      <c r="J52" s="757">
        <v>-0.16648333333333321</v>
      </c>
      <c r="K52" s="625"/>
      <c r="L52" s="626"/>
      <c r="M52" s="1373"/>
    </row>
    <row r="53" spans="1:15" ht="14.25" customHeight="1">
      <c r="A53" s="624" t="s">
        <v>48</v>
      </c>
      <c r="B53" s="625">
        <v>2.83</v>
      </c>
      <c r="C53" s="626">
        <v>0.29372233379519347</v>
      </c>
      <c r="D53" s="757">
        <v>1</v>
      </c>
      <c r="E53" s="625"/>
      <c r="F53" s="626"/>
      <c r="G53" s="757"/>
      <c r="H53" s="625">
        <v>7.3678528600000002</v>
      </c>
      <c r="I53" s="626">
        <v>0.72542173030497326</v>
      </c>
      <c r="J53" s="757">
        <v>1.6034815759717314</v>
      </c>
      <c r="K53" s="625"/>
      <c r="L53" s="626"/>
      <c r="M53" s="1373"/>
    </row>
    <row r="54" spans="1:15" ht="14.25" customHeight="1">
      <c r="A54" s="624" t="s">
        <v>514</v>
      </c>
      <c r="B54" s="625">
        <v>8.5000000000000006E-2</v>
      </c>
      <c r="C54" s="626">
        <v>8.8220488949086392E-3</v>
      </c>
      <c r="D54" s="757">
        <v>1</v>
      </c>
      <c r="E54" s="625"/>
      <c r="F54" s="626"/>
      <c r="G54" s="757"/>
      <c r="H54" s="625">
        <v>0.75</v>
      </c>
      <c r="I54" s="626">
        <v>7.3843263168630907E-2</v>
      </c>
      <c r="J54" s="757">
        <v>7.8235294117647056</v>
      </c>
      <c r="K54" s="625"/>
      <c r="L54" s="626"/>
      <c r="M54" s="1373"/>
    </row>
    <row r="55" spans="1:15" ht="14.25" customHeight="1">
      <c r="A55" s="624" t="s">
        <v>540</v>
      </c>
      <c r="B55" s="625"/>
      <c r="C55" s="626"/>
      <c r="D55" s="757"/>
      <c r="E55" s="625"/>
      <c r="F55" s="626"/>
      <c r="G55" s="757"/>
      <c r="H55" s="625">
        <v>5.9919999999999999E-3</v>
      </c>
      <c r="I55" s="626">
        <v>5.8995844387524853E-4</v>
      </c>
      <c r="J55" s="757"/>
      <c r="K55" s="625"/>
      <c r="L55" s="626"/>
      <c r="M55" s="1373"/>
    </row>
    <row r="56" spans="1:15" ht="14.25" customHeight="1">
      <c r="A56" s="624" t="s">
        <v>129</v>
      </c>
      <c r="B56" s="625"/>
      <c r="C56" s="626"/>
      <c r="D56" s="757"/>
      <c r="E56" s="625"/>
      <c r="F56" s="626"/>
      <c r="G56" s="757"/>
      <c r="H56" s="625">
        <v>7.6351000000000002E-2</v>
      </c>
      <c r="I56" s="626">
        <v>7.5173426482508521E-3</v>
      </c>
      <c r="J56" s="757"/>
      <c r="K56" s="625"/>
      <c r="L56" s="626"/>
      <c r="M56" s="1373"/>
    </row>
    <row r="57" spans="1:15" s="617" customFormat="1" ht="16.5" customHeight="1">
      <c r="A57" s="1053" t="s">
        <v>100</v>
      </c>
      <c r="B57" s="1055">
        <v>45.792999999999992</v>
      </c>
      <c r="C57" s="1054">
        <v>4.7528010005241317</v>
      </c>
      <c r="D57" s="1056">
        <v>0.2377824629689691</v>
      </c>
      <c r="E57" s="1055">
        <v>2.2400000000000002</v>
      </c>
      <c r="F57" s="1054">
        <v>6.5247152719116839</v>
      </c>
      <c r="G57" s="1056">
        <v>7.5372059529524735E-2</v>
      </c>
      <c r="H57" s="1055">
        <v>55.7384068</v>
      </c>
      <c r="I57" s="1054">
        <v>5.4878744559101422</v>
      </c>
      <c r="J57" s="1056">
        <v>0.21718181381433865</v>
      </c>
      <c r="K57" s="1055">
        <v>1.5084960000000001</v>
      </c>
      <c r="L57" s="1054">
        <v>4.735084166617642</v>
      </c>
      <c r="M57" s="1378">
        <v>-0.32656428571428575</v>
      </c>
      <c r="O57" s="618"/>
    </row>
    <row r="58" spans="1:15" s="617" customFormat="1" ht="16.5" customHeight="1" thickBot="1">
      <c r="A58" s="1057" t="s">
        <v>141</v>
      </c>
      <c r="B58" s="1059">
        <v>963.49500000000023</v>
      </c>
      <c r="C58" s="1058">
        <v>100</v>
      </c>
      <c r="D58" s="1060">
        <v>0.12283283979708511</v>
      </c>
      <c r="E58" s="1059">
        <v>34.331000000000003</v>
      </c>
      <c r="F58" s="1058">
        <v>100</v>
      </c>
      <c r="G58" s="1060">
        <v>-1.4835858585858468E-2</v>
      </c>
      <c r="H58" s="1059">
        <v>1015.664757782</v>
      </c>
      <c r="I58" s="1058">
        <v>100</v>
      </c>
      <c r="J58" s="1060">
        <v>5.4146371057452083E-2</v>
      </c>
      <c r="K58" s="1059">
        <v>31.857849764000004</v>
      </c>
      <c r="L58" s="1058">
        <v>100</v>
      </c>
      <c r="M58" s="1379">
        <v>-7.203839783286238E-2</v>
      </c>
      <c r="O58" s="618"/>
    </row>
    <row r="59" spans="1:15" ht="13.5" thickTop="1"/>
    <row r="64" spans="1:15">
      <c r="A64" s="762"/>
    </row>
    <row r="65" spans="1:1">
      <c r="A65" s="618" t="s">
        <v>428</v>
      </c>
    </row>
  </sheetData>
  <mergeCells count="9">
    <mergeCell ref="A1:M1"/>
    <mergeCell ref="A2:M2"/>
    <mergeCell ref="A3:A5"/>
    <mergeCell ref="B3:G3"/>
    <mergeCell ref="B4:D4"/>
    <mergeCell ref="E4:G4"/>
    <mergeCell ref="H3:M3"/>
    <mergeCell ref="H4:J4"/>
    <mergeCell ref="K4:M4"/>
  </mergeCells>
  <printOptions horizontalCentered="1"/>
  <pageMargins left="0.23622047244094491" right="0.23622047244094491" top="0.59055118110236227" bottom="0.59055118110236227" header="0.19685039370078741" footer="0.19685039370078741"/>
  <pageSetup paperSize="9" scale="91" firstPageNumber="24" orientation="portrait" useFirstPageNumber="1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AA58"/>
  <sheetViews>
    <sheetView zoomScaleNormal="100" zoomScaleSheetLayoutView="100" workbookViewId="0">
      <pane xSplit="1" ySplit="6" topLeftCell="B7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AB61" sqref="AB61"/>
    </sheetView>
  </sheetViews>
  <sheetFormatPr defaultColWidth="14.140625" defaultRowHeight="12.75"/>
  <cols>
    <col min="1" max="1" width="12.28515625" style="197" customWidth="1"/>
    <col min="2" max="2" width="7.140625" style="198" customWidth="1"/>
    <col min="3" max="3" width="6" style="199" customWidth="1"/>
    <col min="4" max="4" width="5.28515625" style="198" customWidth="1"/>
    <col min="5" max="5" width="4.85546875" style="199" bestFit="1" customWidth="1"/>
    <col min="6" max="6" width="7.85546875" style="200" customWidth="1"/>
    <col min="7" max="7" width="6.28515625" style="201" customWidth="1"/>
    <col min="8" max="8" width="6" style="198" customWidth="1"/>
    <col min="9" max="9" width="6" style="199" customWidth="1"/>
    <col min="10" max="10" width="6.140625" style="198" customWidth="1"/>
    <col min="11" max="11" width="5.7109375" style="199" customWidth="1"/>
    <col min="12" max="12" width="5.42578125" style="198" bestFit="1" customWidth="1"/>
    <col min="13" max="13" width="6.42578125" style="199" customWidth="1"/>
    <col min="14" max="14" width="5.5703125" style="198" customWidth="1"/>
    <col min="15" max="15" width="5.5703125" style="199" customWidth="1"/>
    <col min="16" max="16" width="5.7109375" style="202" bestFit="1" customWidth="1"/>
    <col min="17" max="17" width="5.140625" style="199" customWidth="1"/>
    <col min="18" max="18" width="7.28515625" style="200" customWidth="1"/>
    <col min="19" max="19" width="5.7109375" style="201" customWidth="1"/>
    <col min="20" max="20" width="8.28515625" style="200" customWidth="1"/>
    <col min="21" max="21" width="6.5703125" style="201" bestFit="1" customWidth="1"/>
    <col min="22" max="22" width="12" style="197" customWidth="1"/>
    <col min="23" max="29" width="10.42578125" style="197" customWidth="1"/>
    <col min="30" max="16384" width="14.140625" style="197"/>
  </cols>
  <sheetData>
    <row r="1" spans="1:27" s="194" customFormat="1" ht="19.5" customHeight="1">
      <c r="A1" s="1759" t="s">
        <v>553</v>
      </c>
      <c r="B1" s="1760"/>
      <c r="C1" s="1760"/>
      <c r="D1" s="1760"/>
      <c r="E1" s="1760"/>
      <c r="F1" s="1760"/>
      <c r="G1" s="1760"/>
      <c r="H1" s="1760"/>
      <c r="I1" s="1760"/>
      <c r="J1" s="1760"/>
      <c r="K1" s="1760"/>
      <c r="L1" s="1760"/>
      <c r="M1" s="1760"/>
      <c r="N1" s="1760"/>
      <c r="O1" s="1760"/>
      <c r="P1" s="1760"/>
      <c r="Q1" s="1760"/>
      <c r="R1" s="1760"/>
      <c r="S1" s="1760"/>
      <c r="T1" s="1760"/>
      <c r="U1" s="1761"/>
    </row>
    <row r="2" spans="1:27" s="194" customFormat="1" ht="15" customHeight="1">
      <c r="A2" s="1762" t="s">
        <v>417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P2" s="1763"/>
      <c r="Q2" s="1763"/>
      <c r="R2" s="1763"/>
      <c r="S2" s="1763"/>
      <c r="T2" s="1763"/>
      <c r="U2" s="1764"/>
    </row>
    <row r="3" spans="1:27" s="194" customFormat="1" ht="21" customHeight="1">
      <c r="A3" s="1203" t="s">
        <v>114</v>
      </c>
      <c r="B3" s="1765" t="s">
        <v>153</v>
      </c>
      <c r="C3" s="1766"/>
      <c r="D3" s="1766"/>
      <c r="E3" s="1766"/>
      <c r="F3" s="1766"/>
      <c r="G3" s="1767"/>
      <c r="H3" s="1765" t="s">
        <v>152</v>
      </c>
      <c r="I3" s="1766"/>
      <c r="J3" s="1766"/>
      <c r="K3" s="1766"/>
      <c r="L3" s="1766"/>
      <c r="M3" s="1766"/>
      <c r="N3" s="1766"/>
      <c r="O3" s="1766"/>
      <c r="P3" s="1766"/>
      <c r="Q3" s="1766"/>
      <c r="R3" s="1766"/>
      <c r="S3" s="1767"/>
      <c r="T3" s="1768" t="s">
        <v>358</v>
      </c>
      <c r="U3" s="1769"/>
    </row>
    <row r="4" spans="1:27" s="194" customFormat="1" ht="33" customHeight="1">
      <c r="A4" s="1204" t="s">
        <v>374</v>
      </c>
      <c r="B4" s="1772" t="s">
        <v>77</v>
      </c>
      <c r="C4" s="1773"/>
      <c r="D4" s="1772" t="s">
        <v>78</v>
      </c>
      <c r="E4" s="1757"/>
      <c r="F4" s="1758" t="s">
        <v>360</v>
      </c>
      <c r="G4" s="1757"/>
      <c r="H4" s="1756" t="s">
        <v>362</v>
      </c>
      <c r="I4" s="1773"/>
      <c r="J4" s="1756" t="s">
        <v>363</v>
      </c>
      <c r="K4" s="1757"/>
      <c r="L4" s="1754" t="s">
        <v>364</v>
      </c>
      <c r="M4" s="1755"/>
      <c r="N4" s="1756" t="s">
        <v>365</v>
      </c>
      <c r="O4" s="1757"/>
      <c r="P4" s="1756" t="s">
        <v>359</v>
      </c>
      <c r="Q4" s="1757"/>
      <c r="R4" s="1758" t="s">
        <v>361</v>
      </c>
      <c r="S4" s="1757"/>
      <c r="T4" s="1770"/>
      <c r="U4" s="1771"/>
    </row>
    <row r="5" spans="1:27" s="195" customFormat="1" ht="49.5" customHeight="1">
      <c r="A5" s="1415" t="s">
        <v>79</v>
      </c>
      <c r="B5" s="1205" t="s">
        <v>24</v>
      </c>
      <c r="C5" s="1206" t="s">
        <v>356</v>
      </c>
      <c r="D5" s="1205" t="s">
        <v>24</v>
      </c>
      <c r="E5" s="1207" t="s">
        <v>339</v>
      </c>
      <c r="F5" s="1205" t="s">
        <v>24</v>
      </c>
      <c r="G5" s="1207" t="s">
        <v>340</v>
      </c>
      <c r="H5" s="1205" t="s">
        <v>24</v>
      </c>
      <c r="I5" s="1206" t="s">
        <v>357</v>
      </c>
      <c r="J5" s="1205" t="s">
        <v>24</v>
      </c>
      <c r="K5" s="1206" t="s">
        <v>357</v>
      </c>
      <c r="L5" s="1205" t="s">
        <v>24</v>
      </c>
      <c r="M5" s="1206" t="s">
        <v>357</v>
      </c>
      <c r="N5" s="1205" t="s">
        <v>24</v>
      </c>
      <c r="O5" s="1206" t="s">
        <v>357</v>
      </c>
      <c r="P5" s="1205" t="s">
        <v>24</v>
      </c>
      <c r="Q5" s="1206" t="s">
        <v>357</v>
      </c>
      <c r="R5" s="1205" t="s">
        <v>24</v>
      </c>
      <c r="S5" s="1207" t="s">
        <v>340</v>
      </c>
      <c r="T5" s="1205" t="s">
        <v>24</v>
      </c>
      <c r="U5" s="1208" t="s">
        <v>534</v>
      </c>
    </row>
    <row r="6" spans="1:27" s="168" customFormat="1" ht="15" customHeight="1">
      <c r="A6" s="1066" t="s">
        <v>162</v>
      </c>
      <c r="B6" s="1023" t="s">
        <v>163</v>
      </c>
      <c r="C6" s="1050" t="s">
        <v>164</v>
      </c>
      <c r="D6" s="1023" t="s">
        <v>165</v>
      </c>
      <c r="E6" s="1027" t="s">
        <v>166</v>
      </c>
      <c r="F6" s="1023" t="s">
        <v>167</v>
      </c>
      <c r="G6" s="1051" t="s">
        <v>168</v>
      </c>
      <c r="H6" s="1023" t="s">
        <v>169</v>
      </c>
      <c r="I6" s="1027" t="s">
        <v>170</v>
      </c>
      <c r="J6" s="1023" t="s">
        <v>171</v>
      </c>
      <c r="K6" s="1050" t="s">
        <v>172</v>
      </c>
      <c r="L6" s="1023" t="s">
        <v>173</v>
      </c>
      <c r="M6" s="1024" t="s">
        <v>174</v>
      </c>
      <c r="N6" s="1023" t="s">
        <v>175</v>
      </c>
      <c r="O6" s="1024" t="s">
        <v>176</v>
      </c>
      <c r="P6" s="1023" t="s">
        <v>177</v>
      </c>
      <c r="Q6" s="1024" t="s">
        <v>178</v>
      </c>
      <c r="R6" s="1023" t="s">
        <v>179</v>
      </c>
      <c r="S6" s="1024" t="s">
        <v>180</v>
      </c>
      <c r="T6" s="1025" t="s">
        <v>181</v>
      </c>
      <c r="U6" s="1052" t="s">
        <v>182</v>
      </c>
      <c r="Y6" s="1255"/>
      <c r="Z6" s="1256"/>
      <c r="AA6" s="1257"/>
    </row>
    <row r="7" spans="1:27">
      <c r="A7" s="359" t="s">
        <v>37</v>
      </c>
      <c r="B7" s="194">
        <v>43.559927769999994</v>
      </c>
      <c r="C7" s="633">
        <v>4.2888096192275089</v>
      </c>
      <c r="D7" s="196"/>
      <c r="E7" s="1381"/>
      <c r="F7" s="1444">
        <f>B7+D7</f>
        <v>43.559927769999994</v>
      </c>
      <c r="G7" s="636">
        <f>F7/$F$57*100</f>
        <v>4.2888096192275089</v>
      </c>
      <c r="H7" s="1382">
        <v>3.2662724580000004</v>
      </c>
      <c r="I7" s="633">
        <v>10.252644619329205</v>
      </c>
      <c r="J7" s="1383">
        <v>4.59937006</v>
      </c>
      <c r="K7" s="633">
        <v>14.437162638550111</v>
      </c>
      <c r="L7" s="196"/>
      <c r="M7" s="633"/>
      <c r="N7" s="196">
        <v>5.7992550000000004E-2</v>
      </c>
      <c r="O7" s="633">
        <v>0.18203533641610245</v>
      </c>
      <c r="P7" s="1382">
        <v>0.55104553000000001</v>
      </c>
      <c r="Q7" s="633">
        <v>1.7297007707738228</v>
      </c>
      <c r="R7" s="635">
        <f>H7+J7+L7+N7+P7</f>
        <v>8.4746805980000008</v>
      </c>
      <c r="S7" s="636">
        <f>R7/$R$57*100</f>
        <v>26.601543365069251</v>
      </c>
      <c r="T7" s="635">
        <f>R7+F7</f>
        <v>52.034608367999994</v>
      </c>
      <c r="U7" s="636">
        <f>T7/$T$57*100</f>
        <v>4.967397161619564</v>
      </c>
    </row>
    <row r="8" spans="1:27">
      <c r="A8" s="359" t="s">
        <v>38</v>
      </c>
      <c r="B8" s="194">
        <v>39.362828</v>
      </c>
      <c r="C8" s="633">
        <v>3.8755728948353574</v>
      </c>
      <c r="D8" s="196"/>
      <c r="E8" s="1381"/>
      <c r="F8" s="1444">
        <f t="shared" ref="F8:F57" si="0">B8+D8</f>
        <v>39.362828</v>
      </c>
      <c r="G8" s="636">
        <f t="shared" ref="G8:G57" si="1">F8/$F$57*100</f>
        <v>3.8755728948353574</v>
      </c>
      <c r="H8" s="1382"/>
      <c r="I8" s="633"/>
      <c r="J8" s="1383">
        <v>0.11577060199999999</v>
      </c>
      <c r="K8" s="633">
        <v>0.36339737573472281</v>
      </c>
      <c r="L8" s="196"/>
      <c r="M8" s="633"/>
      <c r="N8" s="196">
        <v>0.48960999999999999</v>
      </c>
      <c r="O8" s="633">
        <v>1.5368581147524623</v>
      </c>
      <c r="P8" s="1382">
        <v>0.53395499999999996</v>
      </c>
      <c r="Q8" s="633">
        <v>1.6760545631475072</v>
      </c>
      <c r="R8" s="635">
        <f t="shared" ref="R8:R57" si="2">H8+J8+L8+N8+P8</f>
        <v>1.1393356020000001</v>
      </c>
      <c r="S8" s="636">
        <f t="shared" ref="S8:S57" si="3">R8/$R$57*100</f>
        <v>3.5763100536346939</v>
      </c>
      <c r="T8" s="635">
        <f t="shared" ref="T8:T57" si="4">R8+F8</f>
        <v>40.502163602000003</v>
      </c>
      <c r="U8" s="636">
        <f t="shared" ref="U8:U57" si="5">T8/$T$57*100</f>
        <v>3.8664715431922638</v>
      </c>
    </row>
    <row r="9" spans="1:27">
      <c r="A9" s="359" t="s">
        <v>39</v>
      </c>
      <c r="B9" s="194">
        <v>86.831885755000016</v>
      </c>
      <c r="C9" s="633">
        <v>8.5492664002575847</v>
      </c>
      <c r="D9" s="196"/>
      <c r="E9" s="1381"/>
      <c r="F9" s="1444">
        <f t="shared" si="0"/>
        <v>86.831885755000016</v>
      </c>
      <c r="G9" s="636">
        <f t="shared" si="1"/>
        <v>8.5492664002575847</v>
      </c>
      <c r="H9" s="1382">
        <v>1.0425E-2</v>
      </c>
      <c r="I9" s="633">
        <v>3.2723485725974596E-2</v>
      </c>
      <c r="J9" s="1383">
        <v>0.13033600000000001</v>
      </c>
      <c r="K9" s="633">
        <v>0.40911733674634293</v>
      </c>
      <c r="L9" s="196"/>
      <c r="M9" s="633"/>
      <c r="N9" s="196"/>
      <c r="O9" s="633"/>
      <c r="P9" s="1382">
        <v>0.564272</v>
      </c>
      <c r="Q9" s="633">
        <v>1.7712179124764638</v>
      </c>
      <c r="R9" s="635">
        <f t="shared" si="2"/>
        <v>0.70503300000000002</v>
      </c>
      <c r="S9" s="636">
        <f t="shared" si="3"/>
        <v>2.213058734948782</v>
      </c>
      <c r="T9" s="635">
        <f t="shared" si="4"/>
        <v>87.536918755000016</v>
      </c>
      <c r="U9" s="636">
        <f t="shared" si="5"/>
        <v>8.3565660509116011</v>
      </c>
    </row>
    <row r="10" spans="1:27">
      <c r="A10" s="359" t="s">
        <v>40</v>
      </c>
      <c r="B10" s="194">
        <v>139.00021968999999</v>
      </c>
      <c r="C10" s="633">
        <v>13.685639756541981</v>
      </c>
      <c r="D10" s="196"/>
      <c r="E10" s="1381"/>
      <c r="F10" s="1444">
        <f t="shared" si="0"/>
        <v>139.00021968999999</v>
      </c>
      <c r="G10" s="636">
        <f t="shared" si="1"/>
        <v>13.685639756541981</v>
      </c>
      <c r="H10" s="1382"/>
      <c r="I10" s="633"/>
      <c r="J10" s="1383"/>
      <c r="K10" s="633"/>
      <c r="L10" s="196"/>
      <c r="M10" s="633"/>
      <c r="N10" s="196"/>
      <c r="O10" s="633"/>
      <c r="P10" s="1382"/>
      <c r="Q10" s="633"/>
      <c r="R10" s="635">
        <f t="shared" si="2"/>
        <v>0</v>
      </c>
      <c r="S10" s="636">
        <f t="shared" si="3"/>
        <v>0</v>
      </c>
      <c r="T10" s="635">
        <f t="shared" si="4"/>
        <v>139.00021968999999</v>
      </c>
      <c r="U10" s="636">
        <f t="shared" si="5"/>
        <v>13.269424300639562</v>
      </c>
    </row>
    <row r="11" spans="1:27">
      <c r="A11" s="359" t="s">
        <v>41</v>
      </c>
      <c r="B11" s="194">
        <v>66.344762220000007</v>
      </c>
      <c r="C11" s="633">
        <v>6.5321516577551</v>
      </c>
      <c r="D11" s="196"/>
      <c r="E11" s="1381"/>
      <c r="F11" s="1444">
        <f t="shared" si="0"/>
        <v>66.344762220000007</v>
      </c>
      <c r="G11" s="636">
        <f t="shared" si="1"/>
        <v>6.5321516577551</v>
      </c>
      <c r="H11" s="1382"/>
      <c r="I11" s="633"/>
      <c r="J11" s="1383">
        <v>2.776208864</v>
      </c>
      <c r="K11" s="633">
        <v>8.7143626986501808</v>
      </c>
      <c r="L11" s="196"/>
      <c r="M11" s="633"/>
      <c r="N11" s="196"/>
      <c r="O11" s="633"/>
      <c r="P11" s="1382"/>
      <c r="Q11" s="633"/>
      <c r="R11" s="635">
        <f t="shared" si="2"/>
        <v>2.776208864</v>
      </c>
      <c r="S11" s="636">
        <f t="shared" si="3"/>
        <v>8.7143626986501843</v>
      </c>
      <c r="T11" s="635">
        <f t="shared" si="4"/>
        <v>69.120971084000004</v>
      </c>
      <c r="U11" s="636">
        <f t="shared" si="5"/>
        <v>6.5985183004125796</v>
      </c>
    </row>
    <row r="12" spans="1:27">
      <c r="A12" s="359" t="s">
        <v>42</v>
      </c>
      <c r="B12" s="194">
        <v>155.61898267000001</v>
      </c>
      <c r="C12" s="633">
        <v>15.321884676520325</v>
      </c>
      <c r="D12" s="196"/>
      <c r="E12" s="1381"/>
      <c r="F12" s="1444">
        <f t="shared" si="0"/>
        <v>155.61898267000001</v>
      </c>
      <c r="G12" s="636">
        <f t="shared" si="1"/>
        <v>15.321884676520325</v>
      </c>
      <c r="H12" s="1382">
        <v>3.870743</v>
      </c>
      <c r="I12" s="633">
        <v>12.15004348291761</v>
      </c>
      <c r="J12" s="1383">
        <v>7.5557110000000005</v>
      </c>
      <c r="K12" s="633">
        <v>23.716949741783143</v>
      </c>
      <c r="L12" s="196"/>
      <c r="M12" s="633"/>
      <c r="N12" s="196"/>
      <c r="O12" s="633"/>
      <c r="P12" s="1382">
        <v>0.44170999999999999</v>
      </c>
      <c r="Q12" s="633">
        <v>1.3865027223040995</v>
      </c>
      <c r="R12" s="635">
        <f t="shared" si="2"/>
        <v>11.868164</v>
      </c>
      <c r="S12" s="636">
        <f t="shared" si="3"/>
        <v>37.253495947004858</v>
      </c>
      <c r="T12" s="635">
        <f t="shared" si="4"/>
        <v>167.48714667000002</v>
      </c>
      <c r="U12" s="636">
        <f t="shared" si="5"/>
        <v>15.988881305542064</v>
      </c>
    </row>
    <row r="13" spans="1:27">
      <c r="A13" s="359" t="s">
        <v>43</v>
      </c>
      <c r="B13" s="194">
        <v>224.6946145</v>
      </c>
      <c r="C13" s="633">
        <v>22.122911432371669</v>
      </c>
      <c r="D13" s="196"/>
      <c r="E13" s="1381"/>
      <c r="F13" s="1444">
        <f t="shared" si="0"/>
        <v>224.6946145</v>
      </c>
      <c r="G13" s="636">
        <f t="shared" si="1"/>
        <v>22.122911432371669</v>
      </c>
      <c r="H13" s="1382"/>
      <c r="I13" s="633"/>
      <c r="J13" s="1383">
        <v>0.47902100000000003</v>
      </c>
      <c r="K13" s="633">
        <v>1.5036198422966021</v>
      </c>
      <c r="L13" s="196"/>
      <c r="M13" s="633"/>
      <c r="N13" s="196"/>
      <c r="O13" s="633"/>
      <c r="P13" s="1382"/>
      <c r="Q13" s="633"/>
      <c r="R13" s="635">
        <f t="shared" si="2"/>
        <v>0.47902100000000003</v>
      </c>
      <c r="S13" s="636">
        <f t="shared" si="3"/>
        <v>1.5036198422966023</v>
      </c>
      <c r="T13" s="635">
        <f t="shared" si="4"/>
        <v>225.17363549999999</v>
      </c>
      <c r="U13" s="636">
        <f t="shared" si="5"/>
        <v>21.495825815461018</v>
      </c>
    </row>
    <row r="14" spans="1:27">
      <c r="A14" s="1277" t="s">
        <v>44</v>
      </c>
      <c r="B14" s="194">
        <v>0.2</v>
      </c>
      <c r="C14" s="633">
        <v>1.9691536872479577E-2</v>
      </c>
      <c r="D14" s="196"/>
      <c r="E14" s="1381"/>
      <c r="F14" s="1444">
        <f t="shared" si="0"/>
        <v>0.2</v>
      </c>
      <c r="G14" s="636">
        <f t="shared" si="1"/>
        <v>1.9691536872479577E-2</v>
      </c>
      <c r="H14" s="1382"/>
      <c r="I14" s="633"/>
      <c r="J14" s="1383"/>
      <c r="K14" s="633"/>
      <c r="L14" s="196"/>
      <c r="M14" s="633"/>
      <c r="N14" s="196"/>
      <c r="O14" s="633"/>
      <c r="P14" s="1382"/>
      <c r="Q14" s="633"/>
      <c r="R14" s="635">
        <f t="shared" si="2"/>
        <v>0</v>
      </c>
      <c r="S14" s="636">
        <f t="shared" si="3"/>
        <v>0</v>
      </c>
      <c r="T14" s="635">
        <f t="shared" si="4"/>
        <v>0.2</v>
      </c>
      <c r="U14" s="636">
        <f t="shared" si="5"/>
        <v>1.9092666659424273E-2</v>
      </c>
    </row>
    <row r="15" spans="1:27">
      <c r="A15" s="1385" t="s">
        <v>50</v>
      </c>
      <c r="B15" s="1037">
        <v>755.61322060500015</v>
      </c>
      <c r="C15" s="1044">
        <v>74.395927974382019</v>
      </c>
      <c r="D15" s="1037">
        <v>0</v>
      </c>
      <c r="E15" s="1386">
        <v>0</v>
      </c>
      <c r="F15" s="1386">
        <f t="shared" si="0"/>
        <v>755.61322060500015</v>
      </c>
      <c r="G15" s="1044">
        <f t="shared" si="1"/>
        <v>74.395927974382019</v>
      </c>
      <c r="H15" s="1385">
        <v>7.1474404580000002</v>
      </c>
      <c r="I15" s="1037">
        <v>22.435411587972791</v>
      </c>
      <c r="J15" s="1044">
        <v>15.656417525999998</v>
      </c>
      <c r="K15" s="1037">
        <v>49.144609633761092</v>
      </c>
      <c r="L15" s="1386">
        <v>0</v>
      </c>
      <c r="M15" s="1037">
        <v>0</v>
      </c>
      <c r="N15" s="1044">
        <v>0.54760255000000002</v>
      </c>
      <c r="O15" s="1385">
        <v>1.7188934511685647</v>
      </c>
      <c r="P15" s="1037">
        <v>2.0909825299999998</v>
      </c>
      <c r="Q15" s="1044">
        <v>6.5634759687018924</v>
      </c>
      <c r="R15" s="1044">
        <f t="shared" si="2"/>
        <v>25.442443063999995</v>
      </c>
      <c r="S15" s="1386">
        <f t="shared" si="3"/>
        <v>79.86239064160435</v>
      </c>
      <c r="T15" s="1037">
        <f t="shared" si="4"/>
        <v>781.05566366900018</v>
      </c>
      <c r="U15" s="1044">
        <f t="shared" si="5"/>
        <v>74.562177144438095</v>
      </c>
    </row>
    <row r="16" spans="1:27">
      <c r="A16" s="359" t="s">
        <v>45</v>
      </c>
      <c r="B16" s="194">
        <v>64.199396000000007</v>
      </c>
      <c r="C16" s="633">
        <v>6.3209238676245896</v>
      </c>
      <c r="D16" s="196"/>
      <c r="E16" s="1381"/>
      <c r="F16" s="1444">
        <f t="shared" si="0"/>
        <v>64.199396000000007</v>
      </c>
      <c r="G16" s="636">
        <f t="shared" si="1"/>
        <v>6.3209238676245896</v>
      </c>
      <c r="H16" s="1382"/>
      <c r="I16" s="633"/>
      <c r="J16" s="1383">
        <v>3.332824</v>
      </c>
      <c r="K16" s="633">
        <v>10.461546147835545</v>
      </c>
      <c r="L16" s="196"/>
      <c r="M16" s="633"/>
      <c r="N16" s="196">
        <v>0.27349000000000001</v>
      </c>
      <c r="O16" s="633">
        <v>0.85846965095412875</v>
      </c>
      <c r="P16" s="1382">
        <v>1.20069</v>
      </c>
      <c r="Q16" s="633">
        <v>3.7688980408940469</v>
      </c>
      <c r="R16" s="635">
        <f t="shared" si="2"/>
        <v>4.8070040000000001</v>
      </c>
      <c r="S16" s="636">
        <f t="shared" si="3"/>
        <v>15.088913839683723</v>
      </c>
      <c r="T16" s="635">
        <f t="shared" si="4"/>
        <v>69.006400000000014</v>
      </c>
      <c r="U16" s="636">
        <f t="shared" si="5"/>
        <v>6.587580962834477</v>
      </c>
    </row>
    <row r="17" spans="1:21">
      <c r="A17" s="359" t="s">
        <v>51</v>
      </c>
      <c r="B17" s="194">
        <v>0</v>
      </c>
      <c r="C17" s="633">
        <v>0</v>
      </c>
      <c r="D17" s="196"/>
      <c r="E17" s="1381"/>
      <c r="F17" s="1444">
        <f t="shared" si="0"/>
        <v>0</v>
      </c>
      <c r="G17" s="636">
        <f t="shared" si="1"/>
        <v>0</v>
      </c>
      <c r="H17" s="1382">
        <v>1.0236E-2</v>
      </c>
      <c r="I17" s="633">
        <v>3.2130225409215916E-2</v>
      </c>
      <c r="J17" s="1383"/>
      <c r="K17" s="633"/>
      <c r="L17" s="196"/>
      <c r="M17" s="633"/>
      <c r="N17" s="196"/>
      <c r="O17" s="633"/>
      <c r="P17" s="1382"/>
      <c r="Q17" s="633"/>
      <c r="R17" s="635">
        <f t="shared" si="2"/>
        <v>1.0236E-2</v>
      </c>
      <c r="S17" s="636">
        <f t="shared" si="3"/>
        <v>3.2130225409215923E-2</v>
      </c>
      <c r="T17" s="635">
        <f t="shared" si="4"/>
        <v>1.0236E-2</v>
      </c>
      <c r="U17" s="636">
        <f t="shared" si="5"/>
        <v>9.7716267962933432E-4</v>
      </c>
    </row>
    <row r="18" spans="1:21">
      <c r="A18" s="359" t="s">
        <v>46</v>
      </c>
      <c r="B18" s="194">
        <v>4.01</v>
      </c>
      <c r="C18" s="633">
        <v>0.39481531429321548</v>
      </c>
      <c r="D18" s="196"/>
      <c r="E18" s="1381"/>
      <c r="F18" s="1444">
        <f t="shared" si="0"/>
        <v>4.01</v>
      </c>
      <c r="G18" s="636">
        <f t="shared" si="1"/>
        <v>0.39481531429321548</v>
      </c>
      <c r="H18" s="1382"/>
      <c r="I18" s="633"/>
      <c r="J18" s="1383"/>
      <c r="K18" s="633"/>
      <c r="L18" s="196"/>
      <c r="M18" s="633"/>
      <c r="N18" s="196"/>
      <c r="O18" s="633"/>
      <c r="P18" s="1382"/>
      <c r="Q18" s="633"/>
      <c r="R18" s="635">
        <f t="shared" si="2"/>
        <v>0</v>
      </c>
      <c r="S18" s="636">
        <f t="shared" si="3"/>
        <v>0</v>
      </c>
      <c r="T18" s="635">
        <f t="shared" si="4"/>
        <v>4.01</v>
      </c>
      <c r="U18" s="636">
        <f t="shared" si="5"/>
        <v>0.38280796652145666</v>
      </c>
    </row>
    <row r="19" spans="1:21">
      <c r="A19" s="359" t="s">
        <v>47</v>
      </c>
      <c r="B19" s="194">
        <v>9.8349999999999993E-2</v>
      </c>
      <c r="C19" s="633">
        <v>9.6833132570418312E-3</v>
      </c>
      <c r="D19" s="196"/>
      <c r="E19" s="1381"/>
      <c r="F19" s="1444">
        <f t="shared" si="0"/>
        <v>9.8349999999999993E-2</v>
      </c>
      <c r="G19" s="636">
        <f t="shared" si="1"/>
        <v>9.6833132570418312E-3</v>
      </c>
      <c r="H19" s="1382"/>
      <c r="I19" s="633"/>
      <c r="J19" s="1383"/>
      <c r="K19" s="633"/>
      <c r="L19" s="196">
        <v>8.9674000000000004E-2</v>
      </c>
      <c r="M19" s="633">
        <v>0.28148161716940484</v>
      </c>
      <c r="N19" s="196"/>
      <c r="O19" s="633"/>
      <c r="P19" s="1382"/>
      <c r="Q19" s="633"/>
      <c r="R19" s="635">
        <f t="shared" si="2"/>
        <v>8.9674000000000004E-2</v>
      </c>
      <c r="S19" s="636">
        <f t="shared" si="3"/>
        <v>0.28148161716940495</v>
      </c>
      <c r="T19" s="635">
        <f t="shared" si="4"/>
        <v>0.188024</v>
      </c>
      <c r="U19" s="636">
        <f t="shared" si="5"/>
        <v>1.7949397779857944E-2</v>
      </c>
    </row>
    <row r="20" spans="1:21">
      <c r="A20" s="359" t="s">
        <v>54</v>
      </c>
      <c r="B20" s="194">
        <v>0.49753399999999998</v>
      </c>
      <c r="C20" s="633">
        <v>4.8986045531561266E-2</v>
      </c>
      <c r="D20" s="196"/>
      <c r="E20" s="1381"/>
      <c r="F20" s="1444">
        <f t="shared" si="0"/>
        <v>0.49753399999999998</v>
      </c>
      <c r="G20" s="636">
        <f t="shared" si="1"/>
        <v>4.8986045531561266E-2</v>
      </c>
      <c r="H20" s="1382"/>
      <c r="I20" s="633"/>
      <c r="J20" s="1383"/>
      <c r="K20" s="633"/>
      <c r="L20" s="196"/>
      <c r="M20" s="633"/>
      <c r="N20" s="196"/>
      <c r="O20" s="633"/>
      <c r="P20" s="1382"/>
      <c r="Q20" s="633"/>
      <c r="R20" s="635">
        <f t="shared" si="2"/>
        <v>0</v>
      </c>
      <c r="S20" s="636">
        <f t="shared" si="3"/>
        <v>0</v>
      </c>
      <c r="T20" s="635">
        <f t="shared" si="4"/>
        <v>0.49753399999999998</v>
      </c>
      <c r="U20" s="636">
        <f t="shared" si="5"/>
        <v>4.7496254068649983E-2</v>
      </c>
    </row>
    <row r="21" spans="1:21">
      <c r="A21" s="359" t="s">
        <v>94</v>
      </c>
      <c r="B21" s="194">
        <v>0.13058799999999998</v>
      </c>
      <c r="C21" s="633">
        <v>1.2857392085516813E-2</v>
      </c>
      <c r="D21" s="196"/>
      <c r="E21" s="1381"/>
      <c r="F21" s="1444">
        <f t="shared" si="0"/>
        <v>0.13058799999999998</v>
      </c>
      <c r="G21" s="636">
        <f t="shared" si="1"/>
        <v>1.2857392085516813E-2</v>
      </c>
      <c r="H21" s="1382"/>
      <c r="I21" s="633"/>
      <c r="J21" s="1383"/>
      <c r="K21" s="633"/>
      <c r="L21" s="196"/>
      <c r="M21" s="633"/>
      <c r="N21" s="196"/>
      <c r="O21" s="633"/>
      <c r="P21" s="1382"/>
      <c r="Q21" s="633"/>
      <c r="R21" s="635">
        <f t="shared" si="2"/>
        <v>0</v>
      </c>
      <c r="S21" s="636">
        <f t="shared" si="3"/>
        <v>0</v>
      </c>
      <c r="T21" s="635">
        <f t="shared" si="4"/>
        <v>0.13058799999999998</v>
      </c>
      <c r="U21" s="636">
        <f t="shared" si="5"/>
        <v>1.2466365768604482E-2</v>
      </c>
    </row>
    <row r="22" spans="1:21">
      <c r="A22" s="359" t="s">
        <v>263</v>
      </c>
      <c r="B22" s="194">
        <v>16.323368299999998</v>
      </c>
      <c r="C22" s="633">
        <v>1.607161043812571</v>
      </c>
      <c r="D22" s="196"/>
      <c r="E22" s="1381"/>
      <c r="F22" s="1444">
        <f t="shared" si="0"/>
        <v>16.323368299999998</v>
      </c>
      <c r="G22" s="636">
        <f t="shared" si="1"/>
        <v>1.607161043812571</v>
      </c>
      <c r="H22" s="1382"/>
      <c r="I22" s="633"/>
      <c r="J22" s="1383"/>
      <c r="K22" s="633"/>
      <c r="L22" s="196"/>
      <c r="M22" s="633"/>
      <c r="N22" s="196"/>
      <c r="O22" s="633"/>
      <c r="P22" s="1382"/>
      <c r="Q22" s="633"/>
      <c r="R22" s="635">
        <f t="shared" si="2"/>
        <v>0</v>
      </c>
      <c r="S22" s="636">
        <f t="shared" si="3"/>
        <v>0</v>
      </c>
      <c r="T22" s="635">
        <f t="shared" si="4"/>
        <v>16.323368299999998</v>
      </c>
      <c r="U22" s="636">
        <f t="shared" si="5"/>
        <v>1.5582831485545652</v>
      </c>
    </row>
    <row r="23" spans="1:21">
      <c r="A23" s="359" t="s">
        <v>304</v>
      </c>
      <c r="B23" s="194">
        <v>42.033971124999994</v>
      </c>
      <c r="C23" s="633">
        <v>4.1385674615233956</v>
      </c>
      <c r="D23" s="196"/>
      <c r="E23" s="1381"/>
      <c r="F23" s="1444">
        <f t="shared" si="0"/>
        <v>42.033971124999994</v>
      </c>
      <c r="G23" s="636">
        <f t="shared" si="1"/>
        <v>4.1385674615233956</v>
      </c>
      <c r="H23" s="1382"/>
      <c r="I23" s="633"/>
      <c r="J23" s="1383"/>
      <c r="K23" s="633"/>
      <c r="L23" s="196"/>
      <c r="M23" s="633"/>
      <c r="N23" s="196"/>
      <c r="O23" s="633"/>
      <c r="P23" s="1382"/>
      <c r="Q23" s="633"/>
      <c r="R23" s="635">
        <f t="shared" si="2"/>
        <v>0</v>
      </c>
      <c r="S23" s="636">
        <f t="shared" si="3"/>
        <v>0</v>
      </c>
      <c r="T23" s="635">
        <f t="shared" si="4"/>
        <v>42.033971124999994</v>
      </c>
      <c r="U23" s="636">
        <f t="shared" si="5"/>
        <v>4.0127029953074498</v>
      </c>
    </row>
    <row r="24" spans="1:21">
      <c r="A24" s="359" t="s">
        <v>220</v>
      </c>
      <c r="B24" s="194">
        <v>18.164936109999999</v>
      </c>
      <c r="C24" s="633">
        <v>1.7884775459815034</v>
      </c>
      <c r="D24" s="196"/>
      <c r="E24" s="1381"/>
      <c r="F24" s="1444">
        <f t="shared" si="0"/>
        <v>18.164936109999999</v>
      </c>
      <c r="G24" s="636">
        <f t="shared" si="1"/>
        <v>1.7884775459815034</v>
      </c>
      <c r="H24" s="1382"/>
      <c r="I24" s="633"/>
      <c r="J24" s="1383"/>
      <c r="K24" s="633"/>
      <c r="L24" s="196"/>
      <c r="M24" s="633"/>
      <c r="N24" s="196"/>
      <c r="O24" s="633"/>
      <c r="P24" s="1382"/>
      <c r="Q24" s="633"/>
      <c r="R24" s="635">
        <f t="shared" si="2"/>
        <v>0</v>
      </c>
      <c r="S24" s="636">
        <f t="shared" si="3"/>
        <v>0</v>
      </c>
      <c r="T24" s="635">
        <f t="shared" si="4"/>
        <v>18.164936109999999</v>
      </c>
      <c r="U24" s="636">
        <f t="shared" si="5"/>
        <v>1.7340853501898452</v>
      </c>
    </row>
    <row r="25" spans="1:21">
      <c r="A25" s="359" t="s">
        <v>335</v>
      </c>
      <c r="B25" s="194">
        <v>4.0000010000000001</v>
      </c>
      <c r="C25" s="633">
        <v>0.39383083590727591</v>
      </c>
      <c r="D25" s="196"/>
      <c r="E25" s="1381"/>
      <c r="F25" s="1444">
        <f t="shared" si="0"/>
        <v>4.0000010000000001</v>
      </c>
      <c r="G25" s="636">
        <f t="shared" si="1"/>
        <v>0.39383083590727591</v>
      </c>
      <c r="H25" s="1382"/>
      <c r="I25" s="633"/>
      <c r="J25" s="1383"/>
      <c r="K25" s="633"/>
      <c r="L25" s="196"/>
      <c r="M25" s="633"/>
      <c r="N25" s="196"/>
      <c r="O25" s="633"/>
      <c r="P25" s="1382"/>
      <c r="Q25" s="633"/>
      <c r="R25" s="635">
        <f t="shared" si="2"/>
        <v>0</v>
      </c>
      <c r="S25" s="636">
        <f t="shared" si="3"/>
        <v>0</v>
      </c>
      <c r="T25" s="635">
        <f t="shared" si="4"/>
        <v>4.0000010000000001</v>
      </c>
      <c r="U25" s="636">
        <f t="shared" si="5"/>
        <v>0.38185342865181876</v>
      </c>
    </row>
    <row r="26" spans="1:21">
      <c r="A26" s="359" t="s">
        <v>518</v>
      </c>
      <c r="B26" s="194">
        <v>2.5</v>
      </c>
      <c r="C26" s="633">
        <v>0.24614421090599473</v>
      </c>
      <c r="D26" s="196"/>
      <c r="E26" s="1381"/>
      <c r="F26" s="1444">
        <f t="shared" si="0"/>
        <v>2.5</v>
      </c>
      <c r="G26" s="636">
        <f t="shared" si="1"/>
        <v>0.24614421090599473</v>
      </c>
      <c r="H26" s="1382"/>
      <c r="I26" s="633"/>
      <c r="J26" s="1383"/>
      <c r="K26" s="633"/>
      <c r="L26" s="196"/>
      <c r="M26" s="633"/>
      <c r="N26" s="196"/>
      <c r="O26" s="633"/>
      <c r="P26" s="1382"/>
      <c r="Q26" s="633"/>
      <c r="R26" s="635">
        <f t="shared" si="2"/>
        <v>0</v>
      </c>
      <c r="S26" s="636">
        <f t="shared" si="3"/>
        <v>0</v>
      </c>
      <c r="T26" s="635">
        <f t="shared" si="4"/>
        <v>2.5</v>
      </c>
      <c r="U26" s="636">
        <f t="shared" si="5"/>
        <v>0.23865833324280342</v>
      </c>
    </row>
    <row r="27" spans="1:21">
      <c r="A27" s="359" t="s">
        <v>333</v>
      </c>
      <c r="B27" s="194">
        <v>11.715622003</v>
      </c>
      <c r="C27" s="633">
        <v>1.1534930132805377</v>
      </c>
      <c r="D27" s="196"/>
      <c r="E27" s="1381"/>
      <c r="F27" s="1444">
        <f t="shared" si="0"/>
        <v>11.715622003</v>
      </c>
      <c r="G27" s="636">
        <f t="shared" si="1"/>
        <v>1.1534930132805377</v>
      </c>
      <c r="H27" s="1382"/>
      <c r="I27" s="633"/>
      <c r="J27" s="1383"/>
      <c r="K27" s="633"/>
      <c r="L27" s="196"/>
      <c r="M27" s="633"/>
      <c r="N27" s="196"/>
      <c r="O27" s="633"/>
      <c r="P27" s="1382"/>
      <c r="Q27" s="633"/>
      <c r="R27" s="635">
        <f t="shared" si="2"/>
        <v>0</v>
      </c>
      <c r="S27" s="636">
        <f t="shared" si="3"/>
        <v>0</v>
      </c>
      <c r="T27" s="635">
        <f t="shared" si="4"/>
        <v>11.715622003</v>
      </c>
      <c r="U27" s="636">
        <f t="shared" si="5"/>
        <v>1.1184123280554776</v>
      </c>
    </row>
    <row r="28" spans="1:21">
      <c r="A28" s="624" t="s">
        <v>392</v>
      </c>
      <c r="B28" s="194">
        <v>0.50503900000000002</v>
      </c>
      <c r="C28" s="633">
        <v>4.9724970452701071E-2</v>
      </c>
      <c r="D28" s="196"/>
      <c r="E28" s="1381"/>
      <c r="F28" s="1444">
        <f t="shared" si="0"/>
        <v>0.50503900000000002</v>
      </c>
      <c r="G28" s="636">
        <f t="shared" si="1"/>
        <v>4.9724970452701071E-2</v>
      </c>
      <c r="H28" s="1382"/>
      <c r="I28" s="633"/>
      <c r="J28" s="1383"/>
      <c r="K28" s="633"/>
      <c r="L28" s="196"/>
      <c r="M28" s="633"/>
      <c r="N28" s="196"/>
      <c r="O28" s="633"/>
      <c r="P28" s="1382"/>
      <c r="Q28" s="633"/>
      <c r="R28" s="635">
        <f t="shared" si="2"/>
        <v>0</v>
      </c>
      <c r="S28" s="636">
        <f t="shared" si="3"/>
        <v>0</v>
      </c>
      <c r="T28" s="635">
        <f t="shared" si="4"/>
        <v>0.50503900000000002</v>
      </c>
      <c r="U28" s="636">
        <f t="shared" si="5"/>
        <v>4.8212706385044879E-2</v>
      </c>
    </row>
    <row r="29" spans="1:21">
      <c r="A29" s="624" t="s">
        <v>393</v>
      </c>
      <c r="B29" s="194">
        <v>17.20165493</v>
      </c>
      <c r="C29" s="633">
        <v>1.6936351116088253</v>
      </c>
      <c r="D29" s="196"/>
      <c r="E29" s="1381"/>
      <c r="F29" s="1444">
        <f t="shared" si="0"/>
        <v>17.20165493</v>
      </c>
      <c r="G29" s="636">
        <f t="shared" si="1"/>
        <v>1.6936351116088253</v>
      </c>
      <c r="H29" s="1382"/>
      <c r="I29" s="633"/>
      <c r="J29" s="1383"/>
      <c r="K29" s="633"/>
      <c r="L29" s="196"/>
      <c r="M29" s="633"/>
      <c r="N29" s="196"/>
      <c r="O29" s="633"/>
      <c r="P29" s="1382"/>
      <c r="Q29" s="633"/>
      <c r="R29" s="635">
        <f t="shared" si="2"/>
        <v>0</v>
      </c>
      <c r="S29" s="636">
        <f t="shared" si="3"/>
        <v>0</v>
      </c>
      <c r="T29" s="635">
        <f t="shared" si="4"/>
        <v>17.20165493</v>
      </c>
      <c r="U29" s="636">
        <f t="shared" si="5"/>
        <v>1.6421273178446609</v>
      </c>
    </row>
    <row r="30" spans="1:21">
      <c r="A30" s="1389" t="s">
        <v>419</v>
      </c>
      <c r="B30" s="194">
        <v>3.5</v>
      </c>
      <c r="C30" s="633">
        <v>0.34460189526839258</v>
      </c>
      <c r="D30" s="196"/>
      <c r="E30" s="1381"/>
      <c r="F30" s="1444">
        <f t="shared" si="0"/>
        <v>3.5</v>
      </c>
      <c r="G30" s="636">
        <f t="shared" si="1"/>
        <v>0.34460189526839258</v>
      </c>
      <c r="H30" s="1382"/>
      <c r="I30" s="633"/>
      <c r="J30" s="1383"/>
      <c r="K30" s="633"/>
      <c r="L30" s="196"/>
      <c r="M30" s="633"/>
      <c r="N30" s="196"/>
      <c r="O30" s="633"/>
      <c r="P30" s="1382"/>
      <c r="Q30" s="633"/>
      <c r="R30" s="635">
        <f t="shared" si="2"/>
        <v>0</v>
      </c>
      <c r="S30" s="636">
        <f t="shared" si="3"/>
        <v>0</v>
      </c>
      <c r="T30" s="635">
        <f t="shared" si="4"/>
        <v>3.5</v>
      </c>
      <c r="U30" s="636">
        <f t="shared" si="5"/>
        <v>0.33412166653992476</v>
      </c>
    </row>
    <row r="31" spans="1:21">
      <c r="A31" s="624" t="s">
        <v>421</v>
      </c>
      <c r="B31" s="194">
        <v>5.8113694999999996</v>
      </c>
      <c r="C31" s="633">
        <v>0.572173983944266</v>
      </c>
      <c r="D31" s="196"/>
      <c r="E31" s="1381"/>
      <c r="F31" s="1444">
        <f t="shared" si="0"/>
        <v>5.8113694999999996</v>
      </c>
      <c r="G31" s="636">
        <f t="shared" si="1"/>
        <v>0.572173983944266</v>
      </c>
      <c r="H31" s="1382"/>
      <c r="I31" s="633"/>
      <c r="J31" s="1383"/>
      <c r="K31" s="633"/>
      <c r="L31" s="196"/>
      <c r="M31" s="633"/>
      <c r="N31" s="196"/>
      <c r="O31" s="633"/>
      <c r="P31" s="1382"/>
      <c r="Q31" s="633"/>
      <c r="R31" s="635">
        <f t="shared" si="2"/>
        <v>0</v>
      </c>
      <c r="S31" s="636">
        <f t="shared" si="3"/>
        <v>0</v>
      </c>
      <c r="T31" s="635">
        <f t="shared" si="4"/>
        <v>5.8113694999999996</v>
      </c>
      <c r="U31" s="636">
        <f t="shared" si="5"/>
        <v>0.55477270349122554</v>
      </c>
    </row>
    <row r="32" spans="1:21">
      <c r="A32" s="624" t="s">
        <v>467</v>
      </c>
      <c r="B32" s="194">
        <v>3.801301</v>
      </c>
      <c r="C32" s="633">
        <v>0.3742672940244674</v>
      </c>
      <c r="D32" s="196"/>
      <c r="E32" s="1381"/>
      <c r="F32" s="1444">
        <f t="shared" si="0"/>
        <v>3.801301</v>
      </c>
      <c r="G32" s="636">
        <f t="shared" si="1"/>
        <v>0.3742672940244674</v>
      </c>
      <c r="H32" s="1382"/>
      <c r="I32" s="633"/>
      <c r="J32" s="1383"/>
      <c r="K32" s="633"/>
      <c r="L32" s="196"/>
      <c r="M32" s="633"/>
      <c r="N32" s="196"/>
      <c r="O32" s="633"/>
      <c r="P32" s="1382"/>
      <c r="Q32" s="633"/>
      <c r="R32" s="635">
        <f t="shared" si="2"/>
        <v>0</v>
      </c>
      <c r="S32" s="636">
        <f t="shared" si="3"/>
        <v>0</v>
      </c>
      <c r="T32" s="635">
        <f t="shared" si="4"/>
        <v>3.801301</v>
      </c>
      <c r="U32" s="636">
        <f t="shared" si="5"/>
        <v>0.36288486432568073</v>
      </c>
    </row>
    <row r="33" spans="1:21">
      <c r="A33" s="624" t="s">
        <v>465</v>
      </c>
      <c r="B33" s="194">
        <v>7</v>
      </c>
      <c r="C33" s="633">
        <v>0.68920379053678515</v>
      </c>
      <c r="D33" s="196"/>
      <c r="E33" s="1381"/>
      <c r="F33" s="1444">
        <f t="shared" si="0"/>
        <v>7</v>
      </c>
      <c r="G33" s="636">
        <f t="shared" si="1"/>
        <v>0.68920379053678515</v>
      </c>
      <c r="H33" s="1382"/>
      <c r="I33" s="633"/>
      <c r="J33" s="1383"/>
      <c r="K33" s="633"/>
      <c r="L33" s="196"/>
      <c r="M33" s="633"/>
      <c r="N33" s="196"/>
      <c r="O33" s="633"/>
      <c r="P33" s="1382"/>
      <c r="Q33" s="633"/>
      <c r="R33" s="635">
        <f t="shared" si="2"/>
        <v>0</v>
      </c>
      <c r="S33" s="636">
        <f t="shared" si="3"/>
        <v>0</v>
      </c>
      <c r="T33" s="635">
        <f t="shared" si="4"/>
        <v>7</v>
      </c>
      <c r="U33" s="636">
        <f t="shared" si="5"/>
        <v>0.66824333307984951</v>
      </c>
    </row>
    <row r="34" spans="1:21">
      <c r="A34" s="624" t="s">
        <v>523</v>
      </c>
      <c r="B34" s="194">
        <v>2.82</v>
      </c>
      <c r="C34" s="633">
        <v>0.27765066990196202</v>
      </c>
      <c r="D34" s="196"/>
      <c r="E34" s="1381"/>
      <c r="F34" s="1444">
        <f t="shared" si="0"/>
        <v>2.82</v>
      </c>
      <c r="G34" s="636">
        <f t="shared" si="1"/>
        <v>0.27765066990196202</v>
      </c>
      <c r="H34" s="1382"/>
      <c r="I34" s="633"/>
      <c r="J34" s="1383"/>
      <c r="K34" s="633"/>
      <c r="L34" s="196"/>
      <c r="M34" s="633"/>
      <c r="N34" s="196"/>
      <c r="O34" s="633"/>
      <c r="P34" s="1382"/>
      <c r="Q34" s="633"/>
      <c r="R34" s="635">
        <f t="shared" si="2"/>
        <v>0</v>
      </c>
      <c r="S34" s="636">
        <f t="shared" si="3"/>
        <v>0</v>
      </c>
      <c r="T34" s="635">
        <f t="shared" si="4"/>
        <v>2.82</v>
      </c>
      <c r="U34" s="636">
        <f t="shared" si="5"/>
        <v>0.26920659989788226</v>
      </c>
    </row>
    <row r="35" spans="1:21">
      <c r="A35" s="1385" t="s">
        <v>136</v>
      </c>
      <c r="B35" s="1037">
        <v>959.92635157300003</v>
      </c>
      <c r="C35" s="1044">
        <v>94.512125734322609</v>
      </c>
      <c r="D35" s="1037">
        <v>0</v>
      </c>
      <c r="E35" s="1386">
        <v>0</v>
      </c>
      <c r="F35" s="1386">
        <f t="shared" si="0"/>
        <v>959.92635157300003</v>
      </c>
      <c r="G35" s="1044">
        <f t="shared" si="1"/>
        <v>94.512125734322609</v>
      </c>
      <c r="H35" s="1385">
        <v>7.1576764580000001</v>
      </c>
      <c r="I35" s="1037">
        <v>22.467541813382006</v>
      </c>
      <c r="J35" s="1044">
        <v>18.989241525999997</v>
      </c>
      <c r="K35" s="1037">
        <v>59.606155781596634</v>
      </c>
      <c r="L35" s="1386">
        <v>8.9674000000000004E-2</v>
      </c>
      <c r="M35" s="1037">
        <v>0.28148161716940484</v>
      </c>
      <c r="N35" s="1044">
        <v>0.82109255000000003</v>
      </c>
      <c r="O35" s="1385">
        <v>2.5773631021226939</v>
      </c>
      <c r="P35" s="1037">
        <v>3.2916725299999996</v>
      </c>
      <c r="Q35" s="1044">
        <v>10.33237400959594</v>
      </c>
      <c r="R35" s="1037">
        <f t="shared" si="2"/>
        <v>30.349357063999996</v>
      </c>
      <c r="S35" s="1386">
        <f t="shared" si="3"/>
        <v>95.2649163238667</v>
      </c>
      <c r="T35" s="1037">
        <f t="shared" si="4"/>
        <v>990.27570863699998</v>
      </c>
      <c r="U35" s="1044">
        <f t="shared" si="5"/>
        <v>94.535020029656977</v>
      </c>
    </row>
    <row r="36" spans="1:21">
      <c r="A36" s="359" t="s">
        <v>215</v>
      </c>
      <c r="B36" s="194">
        <v>5.7471558600000003</v>
      </c>
      <c r="C36" s="633">
        <v>0.56585165764538536</v>
      </c>
      <c r="D36" s="1388"/>
      <c r="E36" s="1390"/>
      <c r="F36" s="1444">
        <f t="shared" si="0"/>
        <v>5.7471558600000003</v>
      </c>
      <c r="G36" s="636">
        <f t="shared" si="1"/>
        <v>0.56585165764538536</v>
      </c>
      <c r="H36" s="1382"/>
      <c r="I36" s="633"/>
      <c r="J36" s="1383">
        <v>0.46811199999999997</v>
      </c>
      <c r="K36" s="633">
        <v>1.469377107928769</v>
      </c>
      <c r="L36" s="196"/>
      <c r="M36" s="633"/>
      <c r="N36" s="196"/>
      <c r="O36" s="633"/>
      <c r="P36" s="1382"/>
      <c r="Q36" s="633"/>
      <c r="R36" s="635">
        <f t="shared" si="2"/>
        <v>0.46811199999999997</v>
      </c>
      <c r="S36" s="636">
        <f t="shared" si="3"/>
        <v>1.4693771079287694</v>
      </c>
      <c r="T36" s="635">
        <f t="shared" si="4"/>
        <v>6.21526786</v>
      </c>
      <c r="U36" s="636">
        <f t="shared" si="5"/>
        <v>0.59333018725006625</v>
      </c>
    </row>
    <row r="37" spans="1:21">
      <c r="A37" s="359" t="s">
        <v>296</v>
      </c>
      <c r="B37" s="194">
        <v>0.40744999999999998</v>
      </c>
      <c r="C37" s="633">
        <v>4.0116583493459014E-2</v>
      </c>
      <c r="D37" s="1384"/>
      <c r="E37" s="631"/>
      <c r="F37" s="1444">
        <f t="shared" si="0"/>
        <v>0.40744999999999998</v>
      </c>
      <c r="G37" s="636">
        <f t="shared" si="1"/>
        <v>4.0116583493459014E-2</v>
      </c>
      <c r="H37" s="1382"/>
      <c r="I37" s="633"/>
      <c r="J37" s="1383"/>
      <c r="K37" s="633"/>
      <c r="L37" s="196"/>
      <c r="M37" s="633"/>
      <c r="N37" s="196"/>
      <c r="O37" s="633"/>
      <c r="P37" s="1382"/>
      <c r="Q37" s="633"/>
      <c r="R37" s="635">
        <f t="shared" si="2"/>
        <v>0</v>
      </c>
      <c r="S37" s="636">
        <f t="shared" si="3"/>
        <v>0</v>
      </c>
      <c r="T37" s="635">
        <f t="shared" si="4"/>
        <v>0.40744999999999998</v>
      </c>
      <c r="U37" s="636">
        <f t="shared" si="5"/>
        <v>3.8896535151912097E-2</v>
      </c>
    </row>
    <row r="38" spans="1:21">
      <c r="A38" s="359" t="s">
        <v>298</v>
      </c>
      <c r="B38" s="194">
        <v>1.4882881800000001</v>
      </c>
      <c r="C38" s="633">
        <v>0.14653340786672761</v>
      </c>
      <c r="D38" s="1384"/>
      <c r="E38" s="631"/>
      <c r="F38" s="1444">
        <f t="shared" si="0"/>
        <v>1.4882881800000001</v>
      </c>
      <c r="G38" s="636">
        <f t="shared" si="1"/>
        <v>0.14653340786672761</v>
      </c>
      <c r="H38" s="1382"/>
      <c r="I38" s="633"/>
      <c r="J38" s="1383"/>
      <c r="K38" s="633"/>
      <c r="L38" s="196"/>
      <c r="M38" s="633"/>
      <c r="N38" s="196"/>
      <c r="O38" s="633"/>
      <c r="P38" s="1382"/>
      <c r="Q38" s="633"/>
      <c r="R38" s="635">
        <f t="shared" si="2"/>
        <v>0</v>
      </c>
      <c r="S38" s="636">
        <f t="shared" si="3"/>
        <v>0</v>
      </c>
      <c r="T38" s="635">
        <f t="shared" si="4"/>
        <v>1.4882881800000001</v>
      </c>
      <c r="U38" s="636">
        <f t="shared" si="5"/>
        <v>0.14207695056950617</v>
      </c>
    </row>
    <row r="39" spans="1:21">
      <c r="A39" s="359" t="s">
        <v>122</v>
      </c>
      <c r="B39" s="194">
        <v>0.30676300000000001</v>
      </c>
      <c r="C39" s="633">
        <v>3.0203174628062261E-2</v>
      </c>
      <c r="D39" s="1384"/>
      <c r="E39" s="631"/>
      <c r="F39" s="1444">
        <f t="shared" si="0"/>
        <v>0.30676300000000001</v>
      </c>
      <c r="G39" s="636">
        <f t="shared" si="1"/>
        <v>3.0203174628062261E-2</v>
      </c>
      <c r="H39" s="1382"/>
      <c r="I39" s="633"/>
      <c r="J39" s="1383"/>
      <c r="K39" s="633"/>
      <c r="L39" s="196"/>
      <c r="M39" s="633"/>
      <c r="N39" s="196"/>
      <c r="O39" s="633"/>
      <c r="P39" s="1382"/>
      <c r="Q39" s="633"/>
      <c r="R39" s="635">
        <f t="shared" si="2"/>
        <v>0</v>
      </c>
      <c r="S39" s="636">
        <f t="shared" si="3"/>
        <v>0</v>
      </c>
      <c r="T39" s="635">
        <f t="shared" si="4"/>
        <v>0.30676300000000001</v>
      </c>
      <c r="U39" s="636">
        <f t="shared" si="5"/>
        <v>2.9284618512224841E-2</v>
      </c>
    </row>
    <row r="40" spans="1:21">
      <c r="A40" s="359" t="s">
        <v>297</v>
      </c>
      <c r="B40" s="194">
        <v>3.9199977000000001</v>
      </c>
      <c r="C40" s="633">
        <v>0.38595389624792564</v>
      </c>
      <c r="D40" s="1384"/>
      <c r="E40" s="631"/>
      <c r="F40" s="1444">
        <f t="shared" si="0"/>
        <v>3.9199977000000001</v>
      </c>
      <c r="G40" s="636">
        <f t="shared" si="1"/>
        <v>0.38595389624792564</v>
      </c>
      <c r="H40" s="1382"/>
      <c r="I40" s="633"/>
      <c r="J40" s="1383"/>
      <c r="K40" s="633"/>
      <c r="L40" s="196"/>
      <c r="M40" s="633"/>
      <c r="N40" s="196"/>
      <c r="O40" s="633"/>
      <c r="P40" s="1382"/>
      <c r="Q40" s="633"/>
      <c r="R40" s="635">
        <f t="shared" si="2"/>
        <v>0</v>
      </c>
      <c r="S40" s="636">
        <f t="shared" si="3"/>
        <v>0</v>
      </c>
      <c r="T40" s="635">
        <f t="shared" si="4"/>
        <v>3.9199977000000001</v>
      </c>
      <c r="U40" s="636">
        <f t="shared" si="5"/>
        <v>0.3742160469590492</v>
      </c>
    </row>
    <row r="41" spans="1:21">
      <c r="A41" s="359" t="s">
        <v>155</v>
      </c>
      <c r="B41" s="194">
        <v>13.4474</v>
      </c>
      <c r="C41" s="633">
        <v>1.3239998646949092</v>
      </c>
      <c r="D41" s="1384"/>
      <c r="E41" s="631"/>
      <c r="F41" s="1444">
        <f t="shared" si="0"/>
        <v>13.4474</v>
      </c>
      <c r="G41" s="636">
        <f t="shared" si="1"/>
        <v>1.3239998646949092</v>
      </c>
      <c r="H41" s="1382"/>
      <c r="I41" s="633"/>
      <c r="J41" s="1383"/>
      <c r="K41" s="633"/>
      <c r="L41" s="196"/>
      <c r="M41" s="633"/>
      <c r="N41" s="196"/>
      <c r="O41" s="633"/>
      <c r="P41" s="1382"/>
      <c r="Q41" s="633"/>
      <c r="R41" s="635">
        <f t="shared" si="2"/>
        <v>0</v>
      </c>
      <c r="S41" s="636">
        <f t="shared" si="3"/>
        <v>0</v>
      </c>
      <c r="T41" s="635">
        <f t="shared" si="4"/>
        <v>13.4474</v>
      </c>
      <c r="U41" s="636">
        <f t="shared" si="5"/>
        <v>1.2837336281797098</v>
      </c>
    </row>
    <row r="42" spans="1:21">
      <c r="A42" s="359" t="s">
        <v>142</v>
      </c>
      <c r="B42" s="194"/>
      <c r="C42" s="633"/>
      <c r="D42" s="1384"/>
      <c r="E42" s="631"/>
      <c r="F42" s="1444">
        <f t="shared" si="0"/>
        <v>0</v>
      </c>
      <c r="G42" s="636">
        <f t="shared" si="1"/>
        <v>0</v>
      </c>
      <c r="H42" s="1382">
        <v>0.11781999999999999</v>
      </c>
      <c r="I42" s="633">
        <v>0.36983032021432388</v>
      </c>
      <c r="J42" s="1383"/>
      <c r="K42" s="633"/>
      <c r="L42" s="196"/>
      <c r="M42" s="633"/>
      <c r="N42" s="196"/>
      <c r="O42" s="633"/>
      <c r="P42" s="1382"/>
      <c r="Q42" s="633"/>
      <c r="R42" s="635">
        <f t="shared" si="2"/>
        <v>0.11781999999999999</v>
      </c>
      <c r="S42" s="636">
        <f t="shared" si="3"/>
        <v>0.36983032021432394</v>
      </c>
      <c r="T42" s="635">
        <f t="shared" si="4"/>
        <v>0.11781999999999999</v>
      </c>
      <c r="U42" s="636">
        <f t="shared" si="5"/>
        <v>1.1247489929066838E-2</v>
      </c>
    </row>
    <row r="43" spans="1:21">
      <c r="A43" s="359" t="s">
        <v>247</v>
      </c>
      <c r="B43" s="194">
        <v>18.118747899999999</v>
      </c>
      <c r="C43" s="633">
        <v>1.7839299617800592</v>
      </c>
      <c r="D43" s="1384"/>
      <c r="E43" s="631"/>
      <c r="F43" s="1444">
        <f t="shared" si="0"/>
        <v>18.118747899999999</v>
      </c>
      <c r="G43" s="636">
        <f t="shared" si="1"/>
        <v>1.7839299617800592</v>
      </c>
      <c r="H43" s="1382"/>
      <c r="I43" s="633"/>
      <c r="J43" s="1383"/>
      <c r="K43" s="633"/>
      <c r="L43" s="196"/>
      <c r="M43" s="633"/>
      <c r="N43" s="196"/>
      <c r="O43" s="633"/>
      <c r="P43" s="1382"/>
      <c r="Q43" s="633"/>
      <c r="R43" s="635">
        <f t="shared" si="2"/>
        <v>0</v>
      </c>
      <c r="S43" s="636">
        <f t="shared" si="3"/>
        <v>0</v>
      </c>
      <c r="T43" s="635">
        <f t="shared" si="4"/>
        <v>18.118747899999999</v>
      </c>
      <c r="U43" s="636">
        <f t="shared" si="5"/>
        <v>1.7296760697042175</v>
      </c>
    </row>
    <row r="44" spans="1:21">
      <c r="A44" s="359" t="s">
        <v>305</v>
      </c>
      <c r="B44" s="194"/>
      <c r="C44" s="633"/>
      <c r="D44" s="1384"/>
      <c r="E44" s="631"/>
      <c r="F44" s="1444">
        <f t="shared" si="0"/>
        <v>0</v>
      </c>
      <c r="G44" s="636">
        <f t="shared" si="1"/>
        <v>0</v>
      </c>
      <c r="H44" s="1382"/>
      <c r="I44" s="633"/>
      <c r="J44" s="1383">
        <v>0.30299999999999999</v>
      </c>
      <c r="K44" s="633">
        <v>0.9510998728988298</v>
      </c>
      <c r="L44" s="196"/>
      <c r="M44" s="633"/>
      <c r="N44" s="196"/>
      <c r="O44" s="633"/>
      <c r="P44" s="1382"/>
      <c r="Q44" s="633"/>
      <c r="R44" s="635">
        <f t="shared" si="2"/>
        <v>0.30299999999999999</v>
      </c>
      <c r="S44" s="636">
        <f t="shared" si="3"/>
        <v>0.95109987289883013</v>
      </c>
      <c r="T44" s="635">
        <f t="shared" si="4"/>
        <v>0.30299999999999999</v>
      </c>
      <c r="U44" s="636">
        <f t="shared" si="5"/>
        <v>2.8925389989027776E-2</v>
      </c>
    </row>
    <row r="45" spans="1:21">
      <c r="A45" s="359" t="s">
        <v>227</v>
      </c>
      <c r="B45" s="194"/>
      <c r="C45" s="633"/>
      <c r="D45" s="1384"/>
      <c r="E45" s="631"/>
      <c r="F45" s="1444">
        <f t="shared" si="0"/>
        <v>0</v>
      </c>
      <c r="G45" s="636">
        <f t="shared" si="1"/>
        <v>0</v>
      </c>
      <c r="H45" s="1382"/>
      <c r="I45" s="633"/>
      <c r="J45" s="1383"/>
      <c r="K45" s="633"/>
      <c r="L45" s="196"/>
      <c r="M45" s="633"/>
      <c r="N45" s="196"/>
      <c r="O45" s="633"/>
      <c r="P45" s="1382"/>
      <c r="Q45" s="633"/>
      <c r="R45" s="635">
        <f t="shared" si="2"/>
        <v>0</v>
      </c>
      <c r="S45" s="636">
        <f t="shared" si="3"/>
        <v>0</v>
      </c>
      <c r="T45" s="635">
        <f t="shared" si="4"/>
        <v>0</v>
      </c>
      <c r="U45" s="636">
        <f t="shared" si="5"/>
        <v>0</v>
      </c>
    </row>
    <row r="46" spans="1:21">
      <c r="A46" s="359" t="s">
        <v>324</v>
      </c>
      <c r="B46" s="194">
        <v>4.6556E-2</v>
      </c>
      <c r="C46" s="633">
        <v>4.583795953175796E-3</v>
      </c>
      <c r="D46" s="1384"/>
      <c r="E46" s="631"/>
      <c r="F46" s="1444">
        <f t="shared" si="0"/>
        <v>4.6556E-2</v>
      </c>
      <c r="G46" s="636">
        <f t="shared" si="1"/>
        <v>4.583795953175796E-3</v>
      </c>
      <c r="H46" s="1382">
        <v>0.5</v>
      </c>
      <c r="I46" s="633">
        <v>1.5694717374568152</v>
      </c>
      <c r="J46" s="1383"/>
      <c r="K46" s="633"/>
      <c r="L46" s="196"/>
      <c r="M46" s="633"/>
      <c r="N46" s="196"/>
      <c r="O46" s="633"/>
      <c r="P46" s="1382"/>
      <c r="Q46" s="633"/>
      <c r="R46" s="635">
        <f t="shared" si="2"/>
        <v>0.5</v>
      </c>
      <c r="S46" s="636">
        <f t="shared" si="3"/>
        <v>1.5694717374568155</v>
      </c>
      <c r="T46" s="635">
        <f t="shared" si="4"/>
        <v>0.54655600000000004</v>
      </c>
      <c r="U46" s="636">
        <f t="shared" si="5"/>
        <v>5.2176057593541471E-2</v>
      </c>
    </row>
    <row r="47" spans="1:21">
      <c r="A47" s="359" t="s">
        <v>248</v>
      </c>
      <c r="B47" s="194">
        <v>4.1113999999999998E-2</v>
      </c>
      <c r="C47" s="633">
        <v>4.0479892348756269E-3</v>
      </c>
      <c r="D47" s="1384"/>
      <c r="E47" s="631"/>
      <c r="F47" s="1444">
        <f t="shared" si="0"/>
        <v>4.1113999999999998E-2</v>
      </c>
      <c r="G47" s="636">
        <f t="shared" si="1"/>
        <v>4.0479892348756269E-3</v>
      </c>
      <c r="H47" s="1382"/>
      <c r="I47" s="633"/>
      <c r="J47" s="1383"/>
      <c r="K47" s="633"/>
      <c r="L47" s="196"/>
      <c r="M47" s="633"/>
      <c r="N47" s="196"/>
      <c r="O47" s="633"/>
      <c r="P47" s="1382"/>
      <c r="Q47" s="633"/>
      <c r="R47" s="635">
        <f t="shared" si="2"/>
        <v>0</v>
      </c>
      <c r="S47" s="636">
        <f t="shared" si="3"/>
        <v>0</v>
      </c>
      <c r="T47" s="635">
        <f t="shared" si="4"/>
        <v>4.1113999999999998E-2</v>
      </c>
      <c r="U47" s="636">
        <f t="shared" si="5"/>
        <v>3.9248794851778476E-3</v>
      </c>
    </row>
    <row r="48" spans="1:21">
      <c r="A48" s="359" t="s">
        <v>212</v>
      </c>
      <c r="B48" s="194">
        <v>1.6799980400000001</v>
      </c>
      <c r="C48" s="633">
        <v>0.1654087167517671</v>
      </c>
      <c r="D48" s="1384"/>
      <c r="E48" s="631"/>
      <c r="F48" s="1444">
        <f t="shared" si="0"/>
        <v>1.6799980400000001</v>
      </c>
      <c r="G48" s="636">
        <f t="shared" si="1"/>
        <v>0.1654087167517671</v>
      </c>
      <c r="H48" s="1382"/>
      <c r="I48" s="633"/>
      <c r="J48" s="1383"/>
      <c r="K48" s="633"/>
      <c r="L48" s="196"/>
      <c r="M48" s="633"/>
      <c r="N48" s="196"/>
      <c r="O48" s="633"/>
      <c r="P48" s="1382"/>
      <c r="Q48" s="633"/>
      <c r="R48" s="635">
        <f t="shared" si="2"/>
        <v>0</v>
      </c>
      <c r="S48" s="636">
        <f t="shared" si="3"/>
        <v>0</v>
      </c>
      <c r="T48" s="635">
        <f t="shared" si="4"/>
        <v>1.6799980400000001</v>
      </c>
      <c r="U48" s="636">
        <f t="shared" si="5"/>
        <v>0.16037821283103063</v>
      </c>
    </row>
    <row r="49" spans="1:21">
      <c r="A49" s="359" t="s">
        <v>420</v>
      </c>
      <c r="B49" s="194">
        <v>0</v>
      </c>
      <c r="C49" s="633">
        <v>0</v>
      </c>
      <c r="D49" s="1384"/>
      <c r="E49" s="631"/>
      <c r="F49" s="1444">
        <f t="shared" si="0"/>
        <v>0</v>
      </c>
      <c r="G49" s="636">
        <f t="shared" si="1"/>
        <v>0</v>
      </c>
      <c r="H49" s="1382"/>
      <c r="I49" s="633"/>
      <c r="J49" s="1383">
        <v>0.119564</v>
      </c>
      <c r="K49" s="633">
        <v>0.37530463763457328</v>
      </c>
      <c r="L49" s="196"/>
      <c r="M49" s="633"/>
      <c r="N49" s="196"/>
      <c r="O49" s="633"/>
      <c r="P49" s="1382"/>
      <c r="Q49" s="633"/>
      <c r="R49" s="635">
        <f t="shared" si="2"/>
        <v>0.119564</v>
      </c>
      <c r="S49" s="636">
        <f t="shared" si="3"/>
        <v>0.37530463763457333</v>
      </c>
      <c r="T49" s="635">
        <f t="shared" si="4"/>
        <v>0.119564</v>
      </c>
      <c r="U49" s="636">
        <f t="shared" si="5"/>
        <v>1.141397798233702E-2</v>
      </c>
    </row>
    <row r="50" spans="1:21">
      <c r="A50" s="359" t="s">
        <v>481</v>
      </c>
      <c r="B50" s="194">
        <v>2.0846832800000001</v>
      </c>
      <c r="C50" s="633">
        <v>0.20525308837780831</v>
      </c>
      <c r="D50" s="1384"/>
      <c r="E50" s="631"/>
      <c r="F50" s="1444">
        <f t="shared" si="0"/>
        <v>2.0846832800000001</v>
      </c>
      <c r="G50" s="636">
        <f t="shared" si="1"/>
        <v>0.20525308837780831</v>
      </c>
      <c r="H50" s="1382"/>
      <c r="I50" s="633"/>
      <c r="J50" s="1383"/>
      <c r="K50" s="633"/>
      <c r="L50" s="196"/>
      <c r="M50" s="633"/>
      <c r="N50" s="196"/>
      <c r="O50" s="633"/>
      <c r="P50" s="1382"/>
      <c r="Q50" s="633"/>
      <c r="R50" s="635">
        <f t="shared" si="2"/>
        <v>0</v>
      </c>
      <c r="S50" s="636">
        <f t="shared" si="3"/>
        <v>0</v>
      </c>
      <c r="T50" s="635">
        <f t="shared" si="4"/>
        <v>2.0846832800000001</v>
      </c>
      <c r="U50" s="636">
        <f t="shared" si="5"/>
        <v>0.19901081477757621</v>
      </c>
    </row>
    <row r="51" spans="1:21">
      <c r="A51" s="359" t="s">
        <v>475</v>
      </c>
      <c r="B51" s="194">
        <v>0.25005500000000003</v>
      </c>
      <c r="C51" s="633">
        <v>2.4619836263239405E-2</v>
      </c>
      <c r="D51" s="1384"/>
      <c r="E51" s="631"/>
      <c r="F51" s="1444">
        <f t="shared" si="0"/>
        <v>0.25005500000000003</v>
      </c>
      <c r="G51" s="636">
        <f t="shared" si="1"/>
        <v>2.4619836263239405E-2</v>
      </c>
      <c r="H51" s="1382"/>
      <c r="I51" s="633"/>
      <c r="J51" s="1383"/>
      <c r="K51" s="633"/>
      <c r="L51" s="196"/>
      <c r="M51" s="633"/>
      <c r="N51" s="196"/>
      <c r="O51" s="633"/>
      <c r="P51" s="1382"/>
      <c r="Q51" s="633"/>
      <c r="R51" s="635">
        <f t="shared" si="2"/>
        <v>0</v>
      </c>
      <c r="S51" s="636">
        <f t="shared" si="3"/>
        <v>0</v>
      </c>
      <c r="T51" s="635">
        <f t="shared" si="4"/>
        <v>0.25005500000000003</v>
      </c>
      <c r="U51" s="636">
        <f t="shared" si="5"/>
        <v>2.3871083807611687E-2</v>
      </c>
    </row>
    <row r="52" spans="1:21">
      <c r="A52" s="359" t="s">
        <v>48</v>
      </c>
      <c r="B52" s="194">
        <v>7.3678530000000002</v>
      </c>
      <c r="C52" s="633">
        <v>0.72542174510254631</v>
      </c>
      <c r="D52" s="1384"/>
      <c r="E52" s="631"/>
      <c r="F52" s="1444">
        <f t="shared" si="0"/>
        <v>7.3678530000000002</v>
      </c>
      <c r="G52" s="636">
        <f t="shared" si="1"/>
        <v>0.72542174510254631</v>
      </c>
      <c r="H52" s="1382"/>
      <c r="I52" s="633"/>
      <c r="J52" s="1383"/>
      <c r="K52" s="633"/>
      <c r="L52" s="196"/>
      <c r="M52" s="633"/>
      <c r="N52" s="196"/>
      <c r="O52" s="633"/>
      <c r="P52" s="1382"/>
      <c r="Q52" s="633"/>
      <c r="R52" s="635">
        <f t="shared" si="2"/>
        <v>0</v>
      </c>
      <c r="S52" s="636">
        <f t="shared" si="3"/>
        <v>0</v>
      </c>
      <c r="T52" s="635">
        <f t="shared" si="4"/>
        <v>7.3678530000000002</v>
      </c>
      <c r="U52" s="636">
        <f t="shared" si="5"/>
        <v>0.70335980662319564</v>
      </c>
    </row>
    <row r="53" spans="1:21">
      <c r="A53" s="359" t="s">
        <v>514</v>
      </c>
      <c r="B53" s="194">
        <v>0.74999983000000003</v>
      </c>
      <c r="C53" s="633">
        <v>7.3843246533992074E-2</v>
      </c>
      <c r="D53" s="1384"/>
      <c r="E53" s="631"/>
      <c r="F53" s="1444">
        <f t="shared" si="0"/>
        <v>0.74999983000000003</v>
      </c>
      <c r="G53" s="636">
        <f t="shared" si="1"/>
        <v>7.3843246533992074E-2</v>
      </c>
      <c r="H53" s="1382"/>
      <c r="I53" s="633"/>
      <c r="J53" s="1383"/>
      <c r="K53" s="633"/>
      <c r="L53" s="196"/>
      <c r="M53" s="633"/>
      <c r="N53" s="196"/>
      <c r="O53" s="633"/>
      <c r="P53" s="1382"/>
      <c r="Q53" s="633"/>
      <c r="R53" s="635">
        <f t="shared" si="2"/>
        <v>0</v>
      </c>
      <c r="S53" s="636">
        <f t="shared" si="3"/>
        <v>0</v>
      </c>
      <c r="T53" s="635">
        <f t="shared" si="4"/>
        <v>0.74999983000000003</v>
      </c>
      <c r="U53" s="636">
        <f t="shared" si="5"/>
        <v>7.1597483744074361E-2</v>
      </c>
    </row>
    <row r="54" spans="1:21">
      <c r="A54" s="294" t="s">
        <v>540</v>
      </c>
      <c r="B54" s="194">
        <v>5.9919999999999999E-3</v>
      </c>
      <c r="C54" s="633">
        <v>5.8995844469948808E-4</v>
      </c>
      <c r="D54" s="1384"/>
      <c r="E54" s="631"/>
      <c r="F54" s="1444">
        <f t="shared" si="0"/>
        <v>5.9919999999999999E-3</v>
      </c>
      <c r="G54" s="636">
        <f t="shared" si="1"/>
        <v>5.8995844469948808E-4</v>
      </c>
      <c r="H54" s="1382"/>
      <c r="I54" s="633"/>
      <c r="J54" s="1383"/>
      <c r="K54" s="633"/>
      <c r="L54" s="196"/>
      <c r="M54" s="633"/>
      <c r="N54" s="196"/>
      <c r="O54" s="633"/>
      <c r="P54" s="1382"/>
      <c r="Q54" s="633"/>
      <c r="R54" s="635">
        <f t="shared" si="2"/>
        <v>0</v>
      </c>
      <c r="S54" s="636">
        <f t="shared" si="3"/>
        <v>0</v>
      </c>
      <c r="T54" s="635">
        <f t="shared" si="4"/>
        <v>5.9919999999999999E-3</v>
      </c>
      <c r="U54" s="636">
        <f t="shared" si="5"/>
        <v>5.7201629311635124E-4</v>
      </c>
    </row>
    <row r="55" spans="1:21">
      <c r="A55" s="294" t="s">
        <v>129</v>
      </c>
      <c r="B55" s="194">
        <v>7.6351000000000002E-2</v>
      </c>
      <c r="C55" s="633">
        <v>7.5173426587534405E-3</v>
      </c>
      <c r="D55" s="1384"/>
      <c r="E55" s="631"/>
      <c r="F55" s="1444">
        <f t="shared" si="0"/>
        <v>7.6351000000000002E-2</v>
      </c>
      <c r="G55" s="636">
        <f t="shared" si="1"/>
        <v>7.5173426587534405E-3</v>
      </c>
      <c r="H55" s="1382"/>
      <c r="I55" s="633"/>
      <c r="J55" s="1383"/>
      <c r="K55" s="633"/>
      <c r="L55" s="196"/>
      <c r="M55" s="633"/>
      <c r="N55" s="196"/>
      <c r="O55" s="633"/>
      <c r="P55" s="1382"/>
      <c r="Q55" s="633"/>
      <c r="R55" s="635">
        <f t="shared" si="2"/>
        <v>0</v>
      </c>
      <c r="S55" s="636">
        <f t="shared" si="3"/>
        <v>0</v>
      </c>
      <c r="T55" s="635">
        <f t="shared" si="4"/>
        <v>7.6351000000000002E-2</v>
      </c>
      <c r="U55" s="636">
        <f t="shared" si="5"/>
        <v>7.2887209605685139E-3</v>
      </c>
    </row>
    <row r="56" spans="1:21">
      <c r="A56" s="1391" t="s">
        <v>100</v>
      </c>
      <c r="B56" s="1037">
        <v>55.738404790000004</v>
      </c>
      <c r="C56" s="1044">
        <v>5.4878742656773865</v>
      </c>
      <c r="D56" s="1037">
        <v>0</v>
      </c>
      <c r="E56" s="1044">
        <v>0</v>
      </c>
      <c r="F56" s="1044">
        <f t="shared" si="0"/>
        <v>55.738404790000004</v>
      </c>
      <c r="G56" s="1044">
        <f t="shared" si="1"/>
        <v>5.4878742656773865</v>
      </c>
      <c r="H56" s="1037">
        <v>0.61782000000000004</v>
      </c>
      <c r="I56" s="1044">
        <v>1.9393020576711391</v>
      </c>
      <c r="J56" s="1037">
        <v>0.89067600000000002</v>
      </c>
      <c r="K56" s="1044">
        <v>2.7957816184621724</v>
      </c>
      <c r="L56" s="1037">
        <v>0</v>
      </c>
      <c r="M56" s="1044">
        <v>0</v>
      </c>
      <c r="N56" s="1037">
        <v>0</v>
      </c>
      <c r="O56" s="1044">
        <v>0</v>
      </c>
      <c r="P56" s="1037">
        <v>0</v>
      </c>
      <c r="Q56" s="1044">
        <v>0</v>
      </c>
      <c r="R56" s="1037">
        <f t="shared" si="2"/>
        <v>1.5084960000000001</v>
      </c>
      <c r="S56" s="1044">
        <f t="shared" si="3"/>
        <v>4.7350836761333133</v>
      </c>
      <c r="T56" s="1037">
        <f t="shared" si="4"/>
        <v>57.246900790000005</v>
      </c>
      <c r="U56" s="1044">
        <f t="shared" si="5"/>
        <v>5.4649799703430109</v>
      </c>
    </row>
    <row r="57" spans="1:21" ht="13.5" thickBot="1">
      <c r="A57" s="1392" t="s">
        <v>141</v>
      </c>
      <c r="B57" s="1393">
        <v>1015.664756363</v>
      </c>
      <c r="C57" s="1049">
        <v>100</v>
      </c>
      <c r="D57" s="1393">
        <v>0</v>
      </c>
      <c r="E57" s="1049">
        <v>0</v>
      </c>
      <c r="F57" s="1049">
        <f t="shared" si="0"/>
        <v>1015.664756363</v>
      </c>
      <c r="G57" s="1049">
        <f t="shared" si="1"/>
        <v>100</v>
      </c>
      <c r="H57" s="1393">
        <v>7.7754964580000001</v>
      </c>
      <c r="I57" s="1049">
        <v>24.406843871053145</v>
      </c>
      <c r="J57" s="1393">
        <v>19.879917525999996</v>
      </c>
      <c r="K57" s="1049">
        <v>62.401937400058806</v>
      </c>
      <c r="L57" s="1393">
        <v>8.9674000000000004E-2</v>
      </c>
      <c r="M57" s="1049">
        <v>0.28148161716940484</v>
      </c>
      <c r="N57" s="1393">
        <v>0.82109255000000003</v>
      </c>
      <c r="O57" s="1049">
        <v>2.5773631021226939</v>
      </c>
      <c r="P57" s="1393">
        <v>3.2916725299999996</v>
      </c>
      <c r="Q57" s="1049">
        <v>10.33237400959594</v>
      </c>
      <c r="R57" s="1393">
        <f t="shared" si="2"/>
        <v>31.857853063999993</v>
      </c>
      <c r="S57" s="1049">
        <f t="shared" si="3"/>
        <v>100</v>
      </c>
      <c r="T57" s="1393">
        <f t="shared" si="4"/>
        <v>1047.5226094270001</v>
      </c>
      <c r="U57" s="1049">
        <f t="shared" si="5"/>
        <v>100</v>
      </c>
    </row>
    <row r="58" spans="1:21" ht="13.5" thickTop="1"/>
  </sheetData>
  <mergeCells count="14">
    <mergeCell ref="L4:M4"/>
    <mergeCell ref="N4:O4"/>
    <mergeCell ref="P4:Q4"/>
    <mergeCell ref="R4:S4"/>
    <mergeCell ref="A1:U1"/>
    <mergeCell ref="A2:U2"/>
    <mergeCell ref="B3:G3"/>
    <mergeCell ref="H3:S3"/>
    <mergeCell ref="T3:U4"/>
    <mergeCell ref="B4:C4"/>
    <mergeCell ref="D4:E4"/>
    <mergeCell ref="F4:G4"/>
    <mergeCell ref="H4:I4"/>
    <mergeCell ref="J4:K4"/>
  </mergeCells>
  <printOptions horizontalCentered="1"/>
  <pageMargins left="0.39370078740157483" right="0.39370078740157483" top="0.43307086614173229" bottom="0.31496062992125984" header="0.19685039370078741" footer="0.19685039370078741"/>
  <pageSetup paperSize="9" scale="73" firstPageNumber="25" orientation="portrait" useFirstPageNumber="1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syncVertical="1" syncRef="B6" transitionEvaluation="1" codeName="Sheet29">
    <tabColor rgb="FF00B050"/>
  </sheetPr>
  <dimension ref="A1:R67"/>
  <sheetViews>
    <sheetView zoomScaleNormal="100" zoomScaleSheetLayoutView="100" workbookViewId="0">
      <pane xSplit="1" ySplit="5" topLeftCell="B6" activePane="bottomRight" state="frozen"/>
      <selection activeCell="M39" sqref="M39"/>
      <selection pane="topRight" activeCell="M39" sqref="M39"/>
      <selection pane="bottomLeft" activeCell="M39" sqref="M39"/>
      <selection pane="bottomRight" activeCell="P13" sqref="P13"/>
    </sheetView>
  </sheetViews>
  <sheetFormatPr defaultColWidth="12.140625" defaultRowHeight="12.75"/>
  <cols>
    <col min="1" max="1" width="10.7109375" style="638" customWidth="1"/>
    <col min="2" max="2" width="8.85546875" style="638" customWidth="1"/>
    <col min="3" max="4" width="9.42578125" style="638" customWidth="1"/>
    <col min="5" max="5" width="8.85546875" style="638" customWidth="1"/>
    <col min="6" max="7" width="9.42578125" style="638" customWidth="1"/>
    <col min="8" max="8" width="8.85546875" style="638" customWidth="1"/>
    <col min="9" max="10" width="9.42578125" style="638" customWidth="1"/>
    <col min="11" max="11" width="4.42578125" style="638" customWidth="1"/>
    <col min="12" max="16384" width="12.140625" style="638"/>
  </cols>
  <sheetData>
    <row r="1" spans="1:15" ht="19.899999999999999" customHeight="1">
      <c r="A1" s="1774" t="s">
        <v>492</v>
      </c>
      <c r="B1" s="1775"/>
      <c r="C1" s="1775"/>
      <c r="D1" s="1775"/>
      <c r="E1" s="1775"/>
      <c r="F1" s="1775"/>
      <c r="G1" s="1775"/>
      <c r="H1" s="1775"/>
      <c r="I1" s="1775"/>
      <c r="J1" s="1776"/>
    </row>
    <row r="2" spans="1:15" ht="13.5" customHeight="1">
      <c r="A2" s="1781" t="s">
        <v>417</v>
      </c>
      <c r="B2" s="1782"/>
      <c r="C2" s="1782"/>
      <c r="D2" s="1782"/>
      <c r="E2" s="1782"/>
      <c r="F2" s="1782"/>
      <c r="G2" s="1782"/>
      <c r="H2" s="1782"/>
      <c r="I2" s="1782"/>
      <c r="J2" s="1783"/>
    </row>
    <row r="3" spans="1:15" s="639" customFormat="1" ht="14.25" customHeight="1">
      <c r="A3" s="1784" t="s">
        <v>52</v>
      </c>
      <c r="B3" s="1777" t="s">
        <v>431</v>
      </c>
      <c r="C3" s="1778"/>
      <c r="D3" s="1779"/>
      <c r="E3" s="1777" t="s">
        <v>504</v>
      </c>
      <c r="F3" s="1778"/>
      <c r="G3" s="1779"/>
      <c r="H3" s="1777" t="s">
        <v>538</v>
      </c>
      <c r="I3" s="1778"/>
      <c r="J3" s="1780"/>
    </row>
    <row r="4" spans="1:15" s="639" customFormat="1" ht="37.5" customHeight="1">
      <c r="A4" s="1785"/>
      <c r="B4" s="1209" t="s">
        <v>311</v>
      </c>
      <c r="C4" s="1209" t="s">
        <v>366</v>
      </c>
      <c r="D4" s="1210" t="s">
        <v>310</v>
      </c>
      <c r="E4" s="1209" t="s">
        <v>311</v>
      </c>
      <c r="F4" s="1209" t="s">
        <v>366</v>
      </c>
      <c r="G4" s="1210" t="s">
        <v>310</v>
      </c>
      <c r="H4" s="1209" t="s">
        <v>311</v>
      </c>
      <c r="I4" s="1209" t="s">
        <v>366</v>
      </c>
      <c r="J4" s="1211" t="s">
        <v>310</v>
      </c>
    </row>
    <row r="5" spans="1:15" s="640" customFormat="1" ht="15" customHeight="1">
      <c r="A5" s="1041" t="s">
        <v>162</v>
      </c>
      <c r="B5" s="1042" t="s">
        <v>163</v>
      </c>
      <c r="C5" s="1025" t="s">
        <v>164</v>
      </c>
      <c r="D5" s="1042" t="s">
        <v>165</v>
      </c>
      <c r="E5" s="1042" t="s">
        <v>166</v>
      </c>
      <c r="F5" s="1025" t="s">
        <v>167</v>
      </c>
      <c r="G5" s="1042" t="s">
        <v>168</v>
      </c>
      <c r="H5" s="1042" t="s">
        <v>169</v>
      </c>
      <c r="I5" s="1025" t="s">
        <v>170</v>
      </c>
      <c r="J5" s="1052" t="s">
        <v>171</v>
      </c>
      <c r="N5" s="639"/>
      <c r="O5" s="639"/>
    </row>
    <row r="6" spans="1:15" s="644" customFormat="1" ht="16.149999999999999" customHeight="1">
      <c r="A6" s="641" t="s">
        <v>37</v>
      </c>
      <c r="B6" s="642">
        <v>133.12799999999999</v>
      </c>
      <c r="C6" s="642">
        <v>26.05</v>
      </c>
      <c r="D6" s="643">
        <v>5.1104798464491354</v>
      </c>
      <c r="E6" s="642">
        <v>170.28299999999999</v>
      </c>
      <c r="F6" s="642">
        <v>38.377000000000002</v>
      </c>
      <c r="G6" s="643">
        <v>4.437110769471297</v>
      </c>
      <c r="H6" s="642">
        <v>187.167497193</v>
      </c>
      <c r="I6" s="642">
        <v>43.559927769999994</v>
      </c>
      <c r="J6" s="1397">
        <v>4.2967816241858756</v>
      </c>
      <c r="M6" s="1221"/>
      <c r="N6" s="639"/>
      <c r="O6" s="639"/>
    </row>
    <row r="7" spans="1:15" s="644" customFormat="1" ht="16.149999999999999" customHeight="1">
      <c r="A7" s="645" t="s">
        <v>38</v>
      </c>
      <c r="B7" s="646">
        <v>114.474</v>
      </c>
      <c r="C7" s="646">
        <v>35.493000000000002</v>
      </c>
      <c r="D7" s="647">
        <v>3.2252556842194235</v>
      </c>
      <c r="E7" s="646">
        <v>152.85900000000001</v>
      </c>
      <c r="F7" s="646">
        <v>40.33</v>
      </c>
      <c r="G7" s="647">
        <v>3.7902058021324079</v>
      </c>
      <c r="H7" s="646">
        <v>182.35306201100002</v>
      </c>
      <c r="I7" s="646">
        <v>39.362828</v>
      </c>
      <c r="J7" s="1446">
        <v>4.6326209593223338</v>
      </c>
      <c r="M7" s="1221"/>
      <c r="N7" s="639"/>
      <c r="O7" s="639"/>
    </row>
    <row r="8" spans="1:15" s="644" customFormat="1" ht="16.149999999999999" customHeight="1">
      <c r="A8" s="645" t="s">
        <v>39</v>
      </c>
      <c r="B8" s="646">
        <v>106.581</v>
      </c>
      <c r="C8" s="646">
        <v>75.224000000000004</v>
      </c>
      <c r="D8" s="647">
        <v>1.4168483462724661</v>
      </c>
      <c r="E8" s="646">
        <v>121.334</v>
      </c>
      <c r="F8" s="646">
        <v>85.272999999999996</v>
      </c>
      <c r="G8" s="647">
        <v>1.4228888393747143</v>
      </c>
      <c r="H8" s="646">
        <v>118.347561998</v>
      </c>
      <c r="I8" s="646">
        <v>86.831885755000016</v>
      </c>
      <c r="J8" s="1446">
        <v>1.3629504987594403</v>
      </c>
      <c r="M8" s="1221"/>
      <c r="N8" s="639"/>
      <c r="O8" s="639"/>
    </row>
    <row r="9" spans="1:15" s="644" customFormat="1" ht="16.149999999999999" customHeight="1">
      <c r="A9" s="645" t="s">
        <v>40</v>
      </c>
      <c r="B9" s="646">
        <v>453.197</v>
      </c>
      <c r="C9" s="646">
        <v>131.16900000000001</v>
      </c>
      <c r="D9" s="647">
        <v>3.4550617905145269</v>
      </c>
      <c r="E9" s="646">
        <v>492.471</v>
      </c>
      <c r="F9" s="646">
        <v>136.148</v>
      </c>
      <c r="G9" s="647">
        <v>3.6171739577518585</v>
      </c>
      <c r="H9" s="646">
        <v>467.89508000000001</v>
      </c>
      <c r="I9" s="646">
        <v>139.00021968999999</v>
      </c>
      <c r="J9" s="1446">
        <v>3.3661463344698692</v>
      </c>
      <c r="M9" s="1221"/>
      <c r="N9" s="639"/>
      <c r="O9" s="639"/>
    </row>
    <row r="10" spans="1:15" s="644" customFormat="1" ht="16.149999999999999" customHeight="1">
      <c r="A10" s="645" t="s">
        <v>41</v>
      </c>
      <c r="B10" s="646">
        <v>325.613</v>
      </c>
      <c r="C10" s="646">
        <v>61.396000000000001</v>
      </c>
      <c r="D10" s="647">
        <v>5.3034888266336573</v>
      </c>
      <c r="E10" s="646">
        <v>380.53800000000001</v>
      </c>
      <c r="F10" s="646">
        <v>66.242000000000004</v>
      </c>
      <c r="G10" s="647">
        <v>5.7446635065366385</v>
      </c>
      <c r="H10" s="646">
        <v>368.91109504399998</v>
      </c>
      <c r="I10" s="646">
        <v>66.344762220000007</v>
      </c>
      <c r="J10" s="1446">
        <v>5.5605157468299682</v>
      </c>
      <c r="M10" s="1221"/>
      <c r="N10" s="639"/>
      <c r="O10" s="639"/>
    </row>
    <row r="11" spans="1:15" s="644" customFormat="1" ht="16.149999999999999" customHeight="1">
      <c r="A11" s="645" t="s">
        <v>42</v>
      </c>
      <c r="B11" s="646">
        <v>259.16199999999998</v>
      </c>
      <c r="C11" s="646">
        <v>153.31299999999999</v>
      </c>
      <c r="D11" s="647">
        <v>1.6904111197354432</v>
      </c>
      <c r="E11" s="646">
        <v>321.185</v>
      </c>
      <c r="F11" s="646">
        <v>175.41200000000001</v>
      </c>
      <c r="G11" s="647">
        <v>1.8310320844640047</v>
      </c>
      <c r="H11" s="646">
        <v>354.63611812900001</v>
      </c>
      <c r="I11" s="646">
        <v>155.61898267000001</v>
      </c>
      <c r="J11" s="1446">
        <v>2.2788744152185378</v>
      </c>
      <c r="M11" s="1221"/>
      <c r="N11" s="639"/>
      <c r="O11" s="639"/>
    </row>
    <row r="12" spans="1:15" s="644" customFormat="1" ht="24" customHeight="1">
      <c r="A12" s="648" t="s">
        <v>349</v>
      </c>
      <c r="B12" s="646">
        <v>4.2270000000000003</v>
      </c>
      <c r="C12" s="646">
        <v>2.0510000000000002</v>
      </c>
      <c r="D12" s="647">
        <v>2.0609458800585081</v>
      </c>
      <c r="E12" s="646">
        <v>0</v>
      </c>
      <c r="F12" s="646">
        <v>0.16</v>
      </c>
      <c r="G12" s="647">
        <v>0</v>
      </c>
      <c r="H12" s="646"/>
      <c r="I12" s="646"/>
      <c r="J12" s="1446"/>
      <c r="M12" s="1221"/>
      <c r="N12" s="639"/>
      <c r="O12" s="639"/>
    </row>
    <row r="13" spans="1:15" s="644" customFormat="1" ht="13.5" customHeight="1">
      <c r="A13" s="645" t="s">
        <v>43</v>
      </c>
      <c r="B13" s="646">
        <v>229.529</v>
      </c>
      <c r="C13" s="646">
        <v>192.821</v>
      </c>
      <c r="D13" s="647">
        <v>1.1903734551734511</v>
      </c>
      <c r="E13" s="646">
        <v>276.48899999999998</v>
      </c>
      <c r="F13" s="646">
        <v>205.643</v>
      </c>
      <c r="G13" s="647">
        <v>1.3445096599446613</v>
      </c>
      <c r="H13" s="646">
        <v>337.38715644199999</v>
      </c>
      <c r="I13" s="646">
        <v>224.6946145</v>
      </c>
      <c r="J13" s="1446">
        <v>1.5015364618006899</v>
      </c>
      <c r="M13" s="1221"/>
      <c r="N13" s="639"/>
      <c r="O13" s="639"/>
    </row>
    <row r="14" spans="1:15" s="644" customFormat="1" ht="15" customHeight="1">
      <c r="A14" s="649" t="s">
        <v>44</v>
      </c>
      <c r="B14" s="650">
        <v>1.946</v>
      </c>
      <c r="C14" s="650">
        <v>0.2</v>
      </c>
      <c r="D14" s="651">
        <v>9.7299999999999986</v>
      </c>
      <c r="E14" s="650">
        <v>2.4329999999999998</v>
      </c>
      <c r="F14" s="650">
        <v>0.2</v>
      </c>
      <c r="G14" s="651">
        <v>12.164999999999999</v>
      </c>
      <c r="H14" s="650">
        <v>2.7972338699999999</v>
      </c>
      <c r="I14" s="650">
        <v>0.2</v>
      </c>
      <c r="J14" s="1447">
        <v>13.986169349999999</v>
      </c>
      <c r="M14" s="1221"/>
      <c r="N14" s="639"/>
      <c r="O14" s="639"/>
    </row>
    <row r="15" spans="1:15" s="652" customFormat="1" ht="16.899999999999999" customHeight="1">
      <c r="A15" s="1043" t="s">
        <v>50</v>
      </c>
      <c r="B15" s="1037">
        <v>1627.857</v>
      </c>
      <c r="C15" s="1037">
        <v>677.7170000000001</v>
      </c>
      <c r="D15" s="1044">
        <v>2.401971619422266</v>
      </c>
      <c r="E15" s="1037">
        <v>1917.5920000000001</v>
      </c>
      <c r="F15" s="1037">
        <v>747.78500000000008</v>
      </c>
      <c r="G15" s="1044">
        <v>2.5643627513255813</v>
      </c>
      <c r="H15" s="1037">
        <v>2019.4948046870002</v>
      </c>
      <c r="I15" s="1037">
        <v>755.61322060500015</v>
      </c>
      <c r="J15" s="1387">
        <v>2.6726567900308074</v>
      </c>
      <c r="L15" s="644"/>
      <c r="M15" s="1221"/>
      <c r="N15" s="639"/>
      <c r="O15" s="639"/>
    </row>
    <row r="16" spans="1:15" s="644" customFormat="1" ht="15" customHeight="1">
      <c r="A16" s="641" t="s">
        <v>45</v>
      </c>
      <c r="B16" s="653">
        <v>410.10899999999998</v>
      </c>
      <c r="C16" s="642">
        <v>59.938000000000002</v>
      </c>
      <c r="D16" s="643">
        <v>6.8422202943041137</v>
      </c>
      <c r="E16" s="653">
        <v>417.34399999999999</v>
      </c>
      <c r="F16" s="642">
        <v>64.09</v>
      </c>
      <c r="G16" s="643">
        <v>6.5118427211733492</v>
      </c>
      <c r="H16" s="653">
        <v>391.29199999999997</v>
      </c>
      <c r="I16" s="642">
        <v>64.199396000000007</v>
      </c>
      <c r="J16" s="1397">
        <v>6.0949483076133602</v>
      </c>
      <c r="M16" s="1221"/>
      <c r="N16" s="639"/>
      <c r="O16" s="639"/>
    </row>
    <row r="17" spans="1:15" s="644" customFormat="1" ht="15" hidden="1" customHeight="1">
      <c r="A17" s="645" t="s">
        <v>51</v>
      </c>
      <c r="B17" s="634"/>
      <c r="C17" s="646"/>
      <c r="D17" s="647"/>
      <c r="E17" s="634"/>
      <c r="F17" s="646"/>
      <c r="G17" s="647"/>
      <c r="H17" s="634"/>
      <c r="I17" s="646"/>
      <c r="J17" s="1446"/>
      <c r="M17" s="1221"/>
      <c r="N17" s="639"/>
      <c r="O17" s="639"/>
    </row>
    <row r="18" spans="1:15" s="644" customFormat="1" ht="15" customHeight="1">
      <c r="A18" s="645" t="s">
        <v>46</v>
      </c>
      <c r="B18" s="634">
        <v>0.47599999999999998</v>
      </c>
      <c r="C18" s="646">
        <v>3.3000000000000002E-2</v>
      </c>
      <c r="D18" s="647">
        <v>14.424242424242422</v>
      </c>
      <c r="E18" s="634">
        <v>1.65</v>
      </c>
      <c r="F18" s="646">
        <v>1.52</v>
      </c>
      <c r="G18" s="647">
        <v>1.0855263157894737</v>
      </c>
      <c r="H18" s="634">
        <v>8.8270330000000001</v>
      </c>
      <c r="I18" s="646">
        <v>4.01</v>
      </c>
      <c r="J18" s="1446">
        <v>2.2012551122194517</v>
      </c>
      <c r="M18" s="1221"/>
      <c r="N18" s="639"/>
      <c r="O18" s="639"/>
    </row>
    <row r="19" spans="1:15" s="644" customFormat="1" ht="15" customHeight="1">
      <c r="A19" s="645" t="s">
        <v>47</v>
      </c>
      <c r="B19" s="634">
        <v>4.4999999999999998E-2</v>
      </c>
      <c r="C19" s="646">
        <v>1.7000000000000001E-2</v>
      </c>
      <c r="D19" s="647">
        <v>2.6470588235294117</v>
      </c>
      <c r="E19" s="634">
        <v>0.24</v>
      </c>
      <c r="F19" s="646">
        <v>7.4999999999999997E-2</v>
      </c>
      <c r="G19" s="647">
        <v>3.2</v>
      </c>
      <c r="H19" s="634">
        <v>3.4757000000000001E-4</v>
      </c>
      <c r="I19" s="646">
        <v>9.8349999999999993E-2</v>
      </c>
      <c r="J19" s="1446">
        <v>3.5340111845449927E-3</v>
      </c>
      <c r="M19" s="1221"/>
      <c r="N19" s="639"/>
      <c r="O19" s="639"/>
    </row>
    <row r="20" spans="1:15" s="644" customFormat="1" ht="15" customHeight="1">
      <c r="A20" s="645" t="s">
        <v>54</v>
      </c>
      <c r="B20" s="634">
        <v>1.032</v>
      </c>
      <c r="C20" s="646">
        <v>0.30299999999999999</v>
      </c>
      <c r="D20" s="647">
        <v>3.4059405940594063</v>
      </c>
      <c r="E20" s="634">
        <v>1.137</v>
      </c>
      <c r="F20" s="646">
        <v>0.33300000000000002</v>
      </c>
      <c r="G20" s="647">
        <v>3.4144144144144142</v>
      </c>
      <c r="H20" s="634">
        <v>1.538035</v>
      </c>
      <c r="I20" s="646">
        <v>0.49753399999999998</v>
      </c>
      <c r="J20" s="1446">
        <v>3.0913163723484227</v>
      </c>
      <c r="M20" s="1221"/>
      <c r="N20" s="639"/>
      <c r="O20" s="639"/>
    </row>
    <row r="21" spans="1:15" s="644" customFormat="1" ht="15" customHeight="1">
      <c r="A21" s="645" t="s">
        <v>94</v>
      </c>
      <c r="B21" s="634">
        <v>0.15</v>
      </c>
      <c r="C21" s="646">
        <v>0.30499999999999999</v>
      </c>
      <c r="D21" s="647">
        <v>0.49180327868852458</v>
      </c>
      <c r="E21" s="634">
        <v>0.123</v>
      </c>
      <c r="F21" s="646">
        <v>0.33600000000000002</v>
      </c>
      <c r="G21" s="647">
        <v>0.36607142857142855</v>
      </c>
      <c r="H21" s="634">
        <v>4.8413999999999999E-2</v>
      </c>
      <c r="I21" s="646">
        <v>0.13058799999999998</v>
      </c>
      <c r="J21" s="1446">
        <v>0.37073850583514567</v>
      </c>
      <c r="M21" s="1221"/>
      <c r="N21" s="639"/>
      <c r="O21" s="639"/>
    </row>
    <row r="22" spans="1:15" s="644" customFormat="1" ht="15" customHeight="1">
      <c r="A22" s="645" t="s">
        <v>263</v>
      </c>
      <c r="B22" s="634">
        <v>29.754000000000001</v>
      </c>
      <c r="C22" s="646">
        <v>11.801</v>
      </c>
      <c r="D22" s="647">
        <v>2.521311753241251</v>
      </c>
      <c r="E22" s="634">
        <v>18.786999999999999</v>
      </c>
      <c r="F22" s="646">
        <v>6.7009999999999996</v>
      </c>
      <c r="G22" s="647">
        <v>2.8036114012833906</v>
      </c>
      <c r="H22" s="634">
        <v>67.038494095000004</v>
      </c>
      <c r="I22" s="646">
        <v>16.323368299999998</v>
      </c>
      <c r="J22" s="1446">
        <v>4.1069032360802646</v>
      </c>
      <c r="M22" s="1221"/>
      <c r="N22" s="639"/>
      <c r="O22" s="639"/>
    </row>
    <row r="23" spans="1:15" s="644" customFormat="1" ht="15" customHeight="1">
      <c r="A23" s="645" t="s">
        <v>304</v>
      </c>
      <c r="B23" s="634">
        <v>71.454999999999998</v>
      </c>
      <c r="C23" s="646">
        <v>23.202999999999999</v>
      </c>
      <c r="D23" s="647">
        <v>3.0795586777571864</v>
      </c>
      <c r="E23" s="634">
        <v>123.4</v>
      </c>
      <c r="F23" s="646">
        <v>34.39</v>
      </c>
      <c r="G23" s="647">
        <v>3.588252398953184</v>
      </c>
      <c r="H23" s="634">
        <v>137.86195487075</v>
      </c>
      <c r="I23" s="646">
        <v>42.033971124999994</v>
      </c>
      <c r="J23" s="1446">
        <v>3.2797746960613878</v>
      </c>
      <c r="M23" s="1221"/>
      <c r="N23" s="639"/>
      <c r="O23" s="639"/>
    </row>
    <row r="24" spans="1:15" s="644" customFormat="1" ht="15" customHeight="1">
      <c r="A24" s="645" t="s">
        <v>220</v>
      </c>
      <c r="B24" s="634">
        <v>41.156999999999996</v>
      </c>
      <c r="C24" s="646">
        <v>18.713999999999999</v>
      </c>
      <c r="D24" s="647">
        <v>2.1992625841615903</v>
      </c>
      <c r="E24" s="634">
        <v>43.233000000000004</v>
      </c>
      <c r="F24" s="646">
        <v>18.440000000000001</v>
      </c>
      <c r="G24" s="647">
        <v>2.3445227765726684</v>
      </c>
      <c r="H24" s="634">
        <v>4.239475873091</v>
      </c>
      <c r="I24" s="646">
        <v>18.164936109999999</v>
      </c>
      <c r="J24" s="1446">
        <v>0.23338787691948565</v>
      </c>
      <c r="M24" s="1221"/>
      <c r="N24" s="639"/>
      <c r="O24" s="639"/>
    </row>
    <row r="25" spans="1:15" s="644" customFormat="1" ht="15" customHeight="1">
      <c r="A25" s="359" t="s">
        <v>335</v>
      </c>
      <c r="B25" s="634">
        <v>8.8079999999999998</v>
      </c>
      <c r="C25" s="646">
        <v>3.617</v>
      </c>
      <c r="D25" s="647">
        <v>2.435167265689798</v>
      </c>
      <c r="E25" s="634">
        <v>9.2240000000000002</v>
      </c>
      <c r="F25" s="646">
        <v>4.0030000000000001</v>
      </c>
      <c r="G25" s="647">
        <v>2.3042717961528854</v>
      </c>
      <c r="H25" s="634">
        <v>8.1974400000000007E-4</v>
      </c>
      <c r="I25" s="646">
        <v>4.0000010000000001</v>
      </c>
      <c r="J25" s="1446">
        <v>2.0493594876601283E-4</v>
      </c>
      <c r="M25" s="1221"/>
      <c r="N25" s="639"/>
      <c r="O25" s="639"/>
    </row>
    <row r="26" spans="1:15" s="644" customFormat="1" ht="15" customHeight="1">
      <c r="A26" s="359" t="s">
        <v>518</v>
      </c>
      <c r="B26" s="634">
        <v>30.780999999999999</v>
      </c>
      <c r="C26" s="646">
        <v>2.5</v>
      </c>
      <c r="D26" s="647">
        <v>12.3124</v>
      </c>
      <c r="E26" s="634">
        <v>28.402000000000001</v>
      </c>
      <c r="F26" s="646">
        <v>2.5</v>
      </c>
      <c r="G26" s="647">
        <v>11.360800000000001</v>
      </c>
      <c r="H26" s="634">
        <v>31.797999999999998</v>
      </c>
      <c r="I26" s="646">
        <v>2.5</v>
      </c>
      <c r="J26" s="1446">
        <v>12.719199999999999</v>
      </c>
      <c r="M26" s="1221"/>
      <c r="N26" s="639"/>
      <c r="O26" s="639"/>
    </row>
    <row r="27" spans="1:15" s="644" customFormat="1" ht="15" customHeight="1">
      <c r="A27" s="645" t="s">
        <v>333</v>
      </c>
      <c r="B27" s="654">
        <v>26.321999999999999</v>
      </c>
      <c r="C27" s="655">
        <v>8</v>
      </c>
      <c r="D27" s="656">
        <v>3.2902499999999999</v>
      </c>
      <c r="E27" s="654">
        <v>19.780999999999999</v>
      </c>
      <c r="F27" s="655">
        <v>8.5090000000000003</v>
      </c>
      <c r="G27" s="656">
        <v>2.3247150076389702</v>
      </c>
      <c r="H27" s="654">
        <v>24.424434893000001</v>
      </c>
      <c r="I27" s="655">
        <v>11.715622003</v>
      </c>
      <c r="J27" s="1448">
        <v>2.0847749173493031</v>
      </c>
      <c r="M27" s="1221"/>
      <c r="N27" s="639"/>
      <c r="O27" s="639"/>
    </row>
    <row r="28" spans="1:15" s="644" customFormat="1" ht="15" customHeight="1">
      <c r="A28" s="359" t="s">
        <v>392</v>
      </c>
      <c r="B28" s="654">
        <v>3.927</v>
      </c>
      <c r="C28" s="655">
        <v>0.55100000000000005</v>
      </c>
      <c r="D28" s="656">
        <v>7.1270417422867505</v>
      </c>
      <c r="E28" s="654">
        <v>3.234</v>
      </c>
      <c r="F28" s="655">
        <v>1</v>
      </c>
      <c r="G28" s="656">
        <v>3.234</v>
      </c>
      <c r="H28" s="654">
        <v>3.819</v>
      </c>
      <c r="I28" s="655">
        <v>0.50503900000000002</v>
      </c>
      <c r="J28" s="1448">
        <v>7.5617922576276282</v>
      </c>
      <c r="M28" s="1221"/>
      <c r="N28" s="639"/>
      <c r="O28" s="639"/>
    </row>
    <row r="29" spans="1:15" s="644" customFormat="1" ht="15" customHeight="1">
      <c r="A29" s="359" t="s">
        <v>393</v>
      </c>
      <c r="B29" s="654">
        <v>8.0039999999999996</v>
      </c>
      <c r="C29" s="655">
        <v>10.026</v>
      </c>
      <c r="D29" s="656">
        <v>0.79832435667265111</v>
      </c>
      <c r="E29" s="654">
        <v>12.896000000000001</v>
      </c>
      <c r="F29" s="655">
        <v>12.641</v>
      </c>
      <c r="G29" s="656">
        <v>1.0201724547108615</v>
      </c>
      <c r="H29" s="654">
        <v>2.0299621842000001E-2</v>
      </c>
      <c r="I29" s="655">
        <v>17.20165493</v>
      </c>
      <c r="J29" s="1448">
        <v>1.1800970269783223E-3</v>
      </c>
      <c r="M29" s="1221"/>
      <c r="N29" s="639"/>
      <c r="O29" s="639"/>
    </row>
    <row r="30" spans="1:15" s="644" customFormat="1" ht="12.75" customHeight="1">
      <c r="A30" s="359" t="s">
        <v>465</v>
      </c>
      <c r="B30" s="654">
        <v>4.1719999999999997</v>
      </c>
      <c r="C30" s="655">
        <v>0.50700000000000001</v>
      </c>
      <c r="D30" s="656">
        <v>8.2287968441814581</v>
      </c>
      <c r="E30" s="654">
        <v>2.9929999999999999</v>
      </c>
      <c r="F30" s="655">
        <v>4.6280000000000001</v>
      </c>
      <c r="G30" s="656">
        <v>0.64671564390665515</v>
      </c>
      <c r="H30" s="654">
        <v>9.6183750000000003</v>
      </c>
      <c r="I30" s="655">
        <v>7</v>
      </c>
      <c r="J30" s="1448">
        <v>1.3740535714285715</v>
      </c>
      <c r="M30" s="1221"/>
      <c r="N30" s="639"/>
      <c r="O30" s="639"/>
    </row>
    <row r="31" spans="1:15" s="644" customFormat="1" ht="12.75" customHeight="1">
      <c r="A31" s="359" t="s">
        <v>467</v>
      </c>
      <c r="B31" s="654">
        <v>1.639</v>
      </c>
      <c r="C31" s="655">
        <v>0.311</v>
      </c>
      <c r="D31" s="656">
        <v>5.270096463022508</v>
      </c>
      <c r="E31" s="654">
        <v>5.8419999999999996</v>
      </c>
      <c r="F31" s="655">
        <v>1.2509999999999999</v>
      </c>
      <c r="G31" s="656">
        <v>4.6698641087130293</v>
      </c>
      <c r="H31" s="654">
        <v>12.354044</v>
      </c>
      <c r="I31" s="655">
        <v>3.801301</v>
      </c>
      <c r="J31" s="1448">
        <v>3.2499515297525767</v>
      </c>
      <c r="M31" s="1221"/>
      <c r="N31" s="639"/>
      <c r="O31" s="639"/>
    </row>
    <row r="32" spans="1:15" s="644" customFormat="1">
      <c r="A32" s="359" t="s">
        <v>419</v>
      </c>
      <c r="B32" s="654">
        <v>7.6219999999999999</v>
      </c>
      <c r="C32" s="655">
        <v>1.6080000000000001</v>
      </c>
      <c r="D32" s="656">
        <v>4.7400497512437809</v>
      </c>
      <c r="E32" s="654">
        <v>15.956</v>
      </c>
      <c r="F32" s="655">
        <v>2.5</v>
      </c>
      <c r="G32" s="656">
        <v>6.3823999999999996</v>
      </c>
      <c r="H32" s="654">
        <v>28.109338000000001</v>
      </c>
      <c r="I32" s="655">
        <v>3.5</v>
      </c>
      <c r="J32" s="1448">
        <v>8.0312394285714284</v>
      </c>
      <c r="M32" s="1221"/>
      <c r="N32" s="639"/>
      <c r="O32" s="639"/>
    </row>
    <row r="33" spans="1:17" s="644" customFormat="1">
      <c r="A33" s="359" t="s">
        <v>421</v>
      </c>
      <c r="B33" s="654">
        <v>20.263000000000002</v>
      </c>
      <c r="C33" s="655">
        <v>1.946</v>
      </c>
      <c r="D33" s="656">
        <v>10.412641315519014</v>
      </c>
      <c r="E33" s="654">
        <v>35.03</v>
      </c>
      <c r="F33" s="655">
        <v>5</v>
      </c>
      <c r="G33" s="656">
        <v>7.0060000000000002</v>
      </c>
      <c r="H33" s="654">
        <v>3.7122739000000002E-2</v>
      </c>
      <c r="I33" s="655">
        <v>5.8113694999999996</v>
      </c>
      <c r="J33" s="1448">
        <v>6.3879502069176643E-3</v>
      </c>
      <c r="M33" s="1221"/>
      <c r="N33" s="639"/>
      <c r="O33" s="639"/>
    </row>
    <row r="34" spans="1:17" s="644" customFormat="1">
      <c r="A34" s="649" t="s">
        <v>523</v>
      </c>
      <c r="B34" s="654"/>
      <c r="C34" s="655"/>
      <c r="D34" s="656"/>
      <c r="E34" s="654">
        <v>4.5490000000000004</v>
      </c>
      <c r="F34" s="655">
        <v>2</v>
      </c>
      <c r="G34" s="656">
        <v>2.2745000000000002</v>
      </c>
      <c r="H34" s="654">
        <v>7.0477290000000004</v>
      </c>
      <c r="I34" s="655">
        <v>2.82</v>
      </c>
      <c r="J34" s="1448">
        <v>2.4991946808510641</v>
      </c>
      <c r="M34" s="1221"/>
      <c r="N34" s="639"/>
      <c r="O34" s="639"/>
    </row>
    <row r="35" spans="1:17" s="652" customFormat="1" ht="17.850000000000001" customHeight="1">
      <c r="A35" s="1043" t="s">
        <v>136</v>
      </c>
      <c r="B35" s="1045">
        <v>2293.5730000000003</v>
      </c>
      <c r="C35" s="1037">
        <v>821.09700000000009</v>
      </c>
      <c r="D35" s="1046">
        <v>2.7933033490562016</v>
      </c>
      <c r="E35" s="1045">
        <v>2661.4130000000009</v>
      </c>
      <c r="F35" s="1037">
        <v>917.70200000000023</v>
      </c>
      <c r="G35" s="1046">
        <v>2.9000841231685235</v>
      </c>
      <c r="H35" s="1045">
        <v>2747.5697220936836</v>
      </c>
      <c r="I35" s="1037">
        <v>959.92635157300003</v>
      </c>
      <c r="J35" s="1449">
        <v>2.862271379039997</v>
      </c>
      <c r="L35" s="644"/>
      <c r="M35" s="1221"/>
      <c r="N35" s="639"/>
      <c r="O35" s="639"/>
      <c r="Q35" s="644"/>
    </row>
    <row r="36" spans="1:17" s="644" customFormat="1" ht="13.9" customHeight="1">
      <c r="A36" s="645" t="s">
        <v>215</v>
      </c>
      <c r="B36" s="646">
        <v>17.54</v>
      </c>
      <c r="C36" s="646">
        <v>5.09</v>
      </c>
      <c r="D36" s="647">
        <v>3.4459724950884087</v>
      </c>
      <c r="E36" s="646">
        <v>17.085999999999999</v>
      </c>
      <c r="F36" s="646">
        <v>5.4089999999999998</v>
      </c>
      <c r="G36" s="647">
        <v>3.1588093917544833</v>
      </c>
      <c r="H36" s="646">
        <v>22.220813535211299</v>
      </c>
      <c r="I36" s="646">
        <v>5.7471558600000003</v>
      </c>
      <c r="J36" s="1446">
        <v>3.8664017605416565</v>
      </c>
      <c r="M36" s="1221"/>
      <c r="N36" s="639"/>
      <c r="O36" s="639"/>
    </row>
    <row r="37" spans="1:17" s="644" customFormat="1" ht="13.9" customHeight="1">
      <c r="A37" s="645" t="s">
        <v>122</v>
      </c>
      <c r="B37" s="646">
        <v>7.7080000000000002</v>
      </c>
      <c r="C37" s="646">
        <v>0.68500000000000005</v>
      </c>
      <c r="D37" s="647">
        <v>11.252554744525547</v>
      </c>
      <c r="E37" s="646">
        <v>7.157</v>
      </c>
      <c r="F37" s="646">
        <v>0.65100000000000002</v>
      </c>
      <c r="G37" s="647">
        <v>10.993855606758832</v>
      </c>
      <c r="H37" s="646">
        <v>2.0711179999999998</v>
      </c>
      <c r="I37" s="646">
        <v>0.30676300000000001</v>
      </c>
      <c r="J37" s="1446">
        <v>6.7515247927553181</v>
      </c>
      <c r="M37" s="1221"/>
      <c r="N37" s="639"/>
      <c r="O37" s="639"/>
    </row>
    <row r="38" spans="1:17" s="644" customFormat="1" ht="13.9" customHeight="1">
      <c r="A38" s="645" t="s">
        <v>247</v>
      </c>
      <c r="B38" s="646">
        <v>68.179000000000002</v>
      </c>
      <c r="C38" s="646">
        <v>16.312000000000001</v>
      </c>
      <c r="D38" s="647">
        <v>4.1796836684649339</v>
      </c>
      <c r="E38" s="646">
        <v>65.613</v>
      </c>
      <c r="F38" s="646">
        <v>18.276</v>
      </c>
      <c r="G38" s="647">
        <v>3.5901181877872621</v>
      </c>
      <c r="H38" s="646">
        <v>46.814628060000004</v>
      </c>
      <c r="I38" s="646">
        <v>18.118747899999999</v>
      </c>
      <c r="J38" s="1446">
        <v>2.5837672844932076</v>
      </c>
      <c r="M38" s="1221"/>
      <c r="N38" s="639"/>
      <c r="O38" s="639"/>
    </row>
    <row r="39" spans="1:17" s="644" customFormat="1" ht="13.9" customHeight="1">
      <c r="A39" s="645" t="s">
        <v>298</v>
      </c>
      <c r="B39" s="646">
        <v>1.2</v>
      </c>
      <c r="C39" s="646">
        <v>1.8009999999999999</v>
      </c>
      <c r="D39" s="647">
        <v>0.66629650194336476</v>
      </c>
      <c r="E39" s="646">
        <v>1.0860000000000001</v>
      </c>
      <c r="F39" s="646">
        <v>1.2929999999999999</v>
      </c>
      <c r="G39" s="647">
        <v>0.83990719257540614</v>
      </c>
      <c r="H39" s="646">
        <v>3.0796649999999997E-3</v>
      </c>
      <c r="I39" s="646">
        <v>1.4882881800000001</v>
      </c>
      <c r="J39" s="1446">
        <v>2.0692665851851349E-3</v>
      </c>
      <c r="M39" s="1221"/>
      <c r="N39" s="639"/>
      <c r="O39" s="639"/>
    </row>
    <row r="40" spans="1:17" s="644" customFormat="1" ht="13.9" customHeight="1">
      <c r="A40" s="645" t="s">
        <v>296</v>
      </c>
      <c r="B40" s="646">
        <v>3.9670000000000001</v>
      </c>
      <c r="C40" s="646">
        <v>1</v>
      </c>
      <c r="D40" s="647">
        <v>3.9670000000000001</v>
      </c>
      <c r="E40" s="646">
        <v>6.1509999999999998</v>
      </c>
      <c r="F40" s="646">
        <v>1</v>
      </c>
      <c r="G40" s="647">
        <v>6.1509999999999998</v>
      </c>
      <c r="H40" s="646">
        <v>1.149195</v>
      </c>
      <c r="I40" s="646">
        <v>0.40744999999999998</v>
      </c>
      <c r="J40" s="1446">
        <v>2.8204564977297828</v>
      </c>
      <c r="M40" s="1221"/>
      <c r="N40" s="639"/>
      <c r="O40" s="639"/>
    </row>
    <row r="41" spans="1:17" s="644" customFormat="1" ht="13.9" customHeight="1">
      <c r="A41" s="645" t="s">
        <v>297</v>
      </c>
      <c r="B41" s="646">
        <v>26.864000000000001</v>
      </c>
      <c r="C41" s="646">
        <v>3.36</v>
      </c>
      <c r="D41" s="647">
        <v>7.9952380952380961</v>
      </c>
      <c r="E41" s="646">
        <v>28.231000000000002</v>
      </c>
      <c r="F41" s="646">
        <v>3.92</v>
      </c>
      <c r="G41" s="647">
        <v>7.2017857142857151</v>
      </c>
      <c r="H41" s="646">
        <v>3.2894987000000001E-2</v>
      </c>
      <c r="I41" s="646">
        <v>3.9199977000000001</v>
      </c>
      <c r="J41" s="1446">
        <v>8.3915832399595533E-3</v>
      </c>
      <c r="M41" s="1221"/>
      <c r="N41" s="639"/>
      <c r="O41" s="639"/>
    </row>
    <row r="42" spans="1:17" s="644" customFormat="1" ht="13.9" customHeight="1">
      <c r="A42" s="645" t="s">
        <v>227</v>
      </c>
      <c r="B42" s="646">
        <v>0.92700000000000005</v>
      </c>
      <c r="C42" s="646">
        <v>0.18099999999999999</v>
      </c>
      <c r="D42" s="647">
        <v>5.1215469613259677</v>
      </c>
      <c r="E42" s="646">
        <v>2.5000000000000001E-2</v>
      </c>
      <c r="F42" s="646">
        <v>1E-3</v>
      </c>
      <c r="G42" s="647">
        <v>25</v>
      </c>
      <c r="H42" s="646">
        <v>0</v>
      </c>
      <c r="I42" s="646"/>
      <c r="J42" s="1446"/>
      <c r="M42" s="1221"/>
      <c r="N42" s="639"/>
      <c r="O42" s="639"/>
    </row>
    <row r="43" spans="1:17" s="644" customFormat="1" ht="13.9" customHeight="1">
      <c r="A43" s="645" t="s">
        <v>305</v>
      </c>
      <c r="B43" s="646"/>
      <c r="C43" s="646"/>
      <c r="D43" s="647"/>
      <c r="E43" s="646"/>
      <c r="F43" s="646"/>
      <c r="G43" s="647"/>
      <c r="H43" s="646">
        <v>0</v>
      </c>
      <c r="I43" s="646"/>
      <c r="J43" s="1446"/>
      <c r="M43" s="1221"/>
      <c r="N43" s="639"/>
      <c r="O43" s="639"/>
    </row>
    <row r="44" spans="1:17" s="644" customFormat="1" ht="13.9" customHeight="1">
      <c r="A44" s="645" t="s">
        <v>324</v>
      </c>
      <c r="B44" s="646">
        <v>2.0670000000000002</v>
      </c>
      <c r="C44" s="646">
        <v>0.69999</v>
      </c>
      <c r="D44" s="647">
        <v>2.9528993271332449</v>
      </c>
      <c r="E44" s="646">
        <v>1.4970000000000001</v>
      </c>
      <c r="F44" s="646">
        <v>0.45</v>
      </c>
      <c r="G44" s="647">
        <v>3.3266666666666667</v>
      </c>
      <c r="H44" s="646">
        <v>0.572972653</v>
      </c>
      <c r="I44" s="646">
        <v>4.6556E-2</v>
      </c>
      <c r="J44" s="1446">
        <v>12.307170998367557</v>
      </c>
      <c r="M44" s="1221"/>
      <c r="N44" s="639"/>
      <c r="O44" s="639"/>
    </row>
    <row r="45" spans="1:17" s="644" customFormat="1">
      <c r="A45" s="1222" t="s">
        <v>212</v>
      </c>
      <c r="B45" s="646">
        <v>4.633</v>
      </c>
      <c r="C45" s="646">
        <v>1.2</v>
      </c>
      <c r="D45" s="647">
        <v>3.8608333333333333</v>
      </c>
      <c r="E45" s="646">
        <v>4.0389999999999997</v>
      </c>
      <c r="F45" s="646">
        <v>1.44</v>
      </c>
      <c r="G45" s="647">
        <v>2.8048611111111108</v>
      </c>
      <c r="H45" s="646">
        <v>3.9067950000000002</v>
      </c>
      <c r="I45" s="646">
        <v>1.6799980400000001</v>
      </c>
      <c r="J45" s="1446">
        <v>2.3254759273409631</v>
      </c>
      <c r="M45" s="1221"/>
      <c r="N45" s="639"/>
      <c r="O45" s="639"/>
    </row>
    <row r="46" spans="1:17" s="644" customFormat="1">
      <c r="A46" s="1222" t="s">
        <v>481</v>
      </c>
      <c r="B46" s="646">
        <v>2.73</v>
      </c>
      <c r="C46" s="646">
        <v>0.69299999999999995</v>
      </c>
      <c r="D46" s="647">
        <v>3.9393939393939394</v>
      </c>
      <c r="E46" s="646">
        <v>5.3049999999999997</v>
      </c>
      <c r="F46" s="646">
        <v>2.1259999999999999</v>
      </c>
      <c r="G46" s="647">
        <v>2.4952963311382881</v>
      </c>
      <c r="H46" s="646">
        <v>3.6798151349999997</v>
      </c>
      <c r="I46" s="646">
        <v>2.0846832800000001</v>
      </c>
      <c r="J46" s="1446">
        <v>1.7651674814603009</v>
      </c>
      <c r="M46" s="1221"/>
      <c r="N46" s="639"/>
      <c r="O46" s="639"/>
    </row>
    <row r="47" spans="1:17" s="644" customFormat="1">
      <c r="A47" s="1222" t="s">
        <v>475</v>
      </c>
      <c r="B47" s="646">
        <v>7.1999999999999995E-2</v>
      </c>
      <c r="C47" s="646">
        <v>2.4E-2</v>
      </c>
      <c r="D47" s="647">
        <v>2.9999999999999996</v>
      </c>
      <c r="E47" s="646">
        <v>1.764</v>
      </c>
      <c r="F47" s="646">
        <v>0.3</v>
      </c>
      <c r="G47" s="647">
        <v>5.88</v>
      </c>
      <c r="H47" s="646">
        <v>1.774495124</v>
      </c>
      <c r="I47" s="646">
        <v>0.25005500000000003</v>
      </c>
      <c r="J47" s="1446">
        <v>7.0964192837575721</v>
      </c>
      <c r="M47" s="1221"/>
      <c r="N47" s="639"/>
      <c r="O47" s="639"/>
    </row>
    <row r="48" spans="1:17" s="644" customFormat="1">
      <c r="A48" s="1222" t="s">
        <v>248</v>
      </c>
      <c r="B48" s="646">
        <v>1.5680000000000001</v>
      </c>
      <c r="C48" s="646">
        <v>0.2</v>
      </c>
      <c r="D48" s="647">
        <v>7.84</v>
      </c>
      <c r="E48" s="646">
        <v>0.19800000000000001</v>
      </c>
      <c r="F48" s="646">
        <v>0.105</v>
      </c>
      <c r="G48" s="647">
        <v>1.8857142857142859</v>
      </c>
      <c r="H48" s="646">
        <v>0</v>
      </c>
      <c r="I48" s="646">
        <v>4.1113999999999998E-2</v>
      </c>
      <c r="J48" s="1446">
        <v>0</v>
      </c>
      <c r="M48" s="1221"/>
      <c r="N48" s="639"/>
      <c r="O48" s="639"/>
    </row>
    <row r="49" spans="1:18" s="644" customFormat="1">
      <c r="A49" s="1222" t="s">
        <v>155</v>
      </c>
      <c r="B49" s="646">
        <v>8.3209999999999997</v>
      </c>
      <c r="C49" s="646">
        <v>6</v>
      </c>
      <c r="D49" s="647">
        <v>1.3868333333333334</v>
      </c>
      <c r="E49" s="646">
        <v>14.855</v>
      </c>
      <c r="F49" s="646">
        <v>7.907</v>
      </c>
      <c r="G49" s="647">
        <v>1.8787150626027571</v>
      </c>
      <c r="H49" s="646">
        <v>25.765916999999998</v>
      </c>
      <c r="I49" s="646">
        <v>13.4474</v>
      </c>
      <c r="J49" s="1446">
        <v>1.9160519505629339</v>
      </c>
      <c r="M49" s="1221"/>
      <c r="N49" s="639"/>
      <c r="O49" s="639"/>
    </row>
    <row r="50" spans="1:18" s="644" customFormat="1">
      <c r="A50" s="1222" t="s">
        <v>48</v>
      </c>
      <c r="B50" s="646"/>
      <c r="C50" s="646"/>
      <c r="D50" s="647"/>
      <c r="E50" s="646">
        <v>5.6130000000000004</v>
      </c>
      <c r="F50" s="646">
        <v>2.83</v>
      </c>
      <c r="G50" s="647">
        <v>1.98339222614841</v>
      </c>
      <c r="H50" s="646">
        <v>2.3007740292599999</v>
      </c>
      <c r="I50" s="646">
        <v>7.3678530000000002</v>
      </c>
      <c r="J50" s="1446">
        <v>0.31227197790998268</v>
      </c>
      <c r="M50" s="1221"/>
      <c r="N50" s="639"/>
      <c r="O50" s="639"/>
    </row>
    <row r="51" spans="1:18" s="644" customFormat="1">
      <c r="A51" s="1222" t="s">
        <v>514</v>
      </c>
      <c r="B51" s="646"/>
      <c r="C51" s="646"/>
      <c r="D51" s="647"/>
      <c r="E51" s="646">
        <v>2.33</v>
      </c>
      <c r="F51" s="646">
        <v>8.5000000000000006E-2</v>
      </c>
      <c r="G51" s="647">
        <v>27.411764705882351</v>
      </c>
      <c r="H51" s="646">
        <v>1.8876280000000001E-3</v>
      </c>
      <c r="I51" s="646">
        <v>0.74999983000000003</v>
      </c>
      <c r="J51" s="1446">
        <v>2.5168379038165915E-3</v>
      </c>
      <c r="M51" s="1221"/>
      <c r="N51" s="639"/>
      <c r="O51" s="639"/>
    </row>
    <row r="52" spans="1:18" s="644" customFormat="1">
      <c r="A52" s="1222" t="s">
        <v>540</v>
      </c>
      <c r="B52" s="646"/>
      <c r="C52" s="646"/>
      <c r="D52" s="647"/>
      <c r="E52" s="646"/>
      <c r="F52" s="646"/>
      <c r="G52" s="647"/>
      <c r="H52" s="646">
        <v>0.20619314000000002</v>
      </c>
      <c r="I52" s="646">
        <v>5.9919999999999999E-3</v>
      </c>
      <c r="J52" s="1446">
        <v>34.411405206942597</v>
      </c>
      <c r="M52" s="1221"/>
      <c r="N52" s="639"/>
      <c r="O52" s="639"/>
    </row>
    <row r="53" spans="1:18" s="644" customFormat="1">
      <c r="A53" s="1222" t="s">
        <v>129</v>
      </c>
      <c r="B53" s="646"/>
      <c r="C53" s="646"/>
      <c r="D53" s="647"/>
      <c r="E53" s="646"/>
      <c r="F53" s="646"/>
      <c r="G53" s="647"/>
      <c r="H53" s="646">
        <v>8.7518852000000003E-4</v>
      </c>
      <c r="I53" s="646">
        <v>7.6351000000000002E-2</v>
      </c>
      <c r="J53" s="1446">
        <v>1.1462698851357546E-2</v>
      </c>
      <c r="M53" s="1221"/>
      <c r="N53" s="639"/>
      <c r="O53" s="639"/>
    </row>
    <row r="54" spans="1:18" s="652" customFormat="1" ht="17.850000000000001" customHeight="1">
      <c r="A54" s="1041" t="s">
        <v>100</v>
      </c>
      <c r="B54" s="1045">
        <v>145.77600000000001</v>
      </c>
      <c r="C54" s="1045">
        <v>37.245990000000006</v>
      </c>
      <c r="D54" s="1044">
        <v>3.9138709965824505</v>
      </c>
      <c r="E54" s="1045">
        <v>160.95000000000002</v>
      </c>
      <c r="F54" s="1045">
        <v>45.792999999999985</v>
      </c>
      <c r="G54" s="1044">
        <v>3.514729325442755</v>
      </c>
      <c r="H54" s="1045">
        <v>110.50145414499131</v>
      </c>
      <c r="I54" s="1045">
        <v>55.738404790000004</v>
      </c>
      <c r="J54" s="1387">
        <v>1.9825011957431604</v>
      </c>
      <c r="L54" s="644"/>
      <c r="M54" s="1221"/>
      <c r="N54" s="639"/>
      <c r="O54" s="639"/>
      <c r="Q54" s="644"/>
      <c r="R54" s="644"/>
    </row>
    <row r="55" spans="1:18" s="652" customFormat="1" ht="17.850000000000001" customHeight="1" thickBot="1">
      <c r="A55" s="1047" t="s">
        <v>141</v>
      </c>
      <c r="B55" s="1048">
        <v>2439.3490000000002</v>
      </c>
      <c r="C55" s="1048">
        <v>858.3429900000001</v>
      </c>
      <c r="D55" s="1049">
        <v>2.8419280269301201</v>
      </c>
      <c r="E55" s="1048">
        <v>2822.3630000000007</v>
      </c>
      <c r="F55" s="1048">
        <v>963.49500000000023</v>
      </c>
      <c r="G55" s="1049">
        <v>2.9292969864918863</v>
      </c>
      <c r="H55" s="1048">
        <v>2858.071176238675</v>
      </c>
      <c r="I55" s="1048">
        <v>1015.664756363</v>
      </c>
      <c r="J55" s="1394">
        <v>2.8139906975537472</v>
      </c>
      <c r="L55" s="644"/>
      <c r="N55" s="639"/>
      <c r="O55" s="639"/>
      <c r="Q55" s="644"/>
      <c r="R55" s="644"/>
    </row>
    <row r="56" spans="1:18" ht="13.5" thickTop="1">
      <c r="A56" s="657" t="s">
        <v>341</v>
      </c>
      <c r="J56" s="1450"/>
      <c r="K56" s="1242"/>
      <c r="Q56" s="644"/>
      <c r="R56" s="644"/>
    </row>
    <row r="57" spans="1:18">
      <c r="A57" s="657" t="s">
        <v>308</v>
      </c>
      <c r="J57" s="1450"/>
      <c r="K57" s="1242"/>
      <c r="Q57" s="644"/>
      <c r="R57" s="644"/>
    </row>
    <row r="58" spans="1:18">
      <c r="A58" s="657" t="s">
        <v>533</v>
      </c>
      <c r="J58" s="1450"/>
      <c r="K58" s="1242"/>
      <c r="Q58" s="644"/>
      <c r="R58" s="644"/>
    </row>
    <row r="59" spans="1:18" ht="13.5" thickBot="1">
      <c r="A59" s="1395" t="s">
        <v>532</v>
      </c>
      <c r="B59" s="1396"/>
      <c r="C59" s="1396"/>
      <c r="D59" s="1396"/>
      <c r="E59" s="1396"/>
      <c r="F59" s="1396"/>
      <c r="G59" s="1396"/>
      <c r="H59" s="1396"/>
      <c r="I59" s="1396"/>
      <c r="J59" s="1451"/>
      <c r="K59" s="1242"/>
      <c r="Q59" s="644"/>
      <c r="R59" s="644"/>
    </row>
    <row r="60" spans="1:18">
      <c r="K60" s="1242"/>
      <c r="Q60" s="644"/>
      <c r="R60" s="644"/>
    </row>
    <row r="61" spans="1:18">
      <c r="K61" s="1242"/>
      <c r="Q61" s="644"/>
      <c r="R61" s="644"/>
    </row>
    <row r="62" spans="1:18">
      <c r="K62" s="1242"/>
      <c r="Q62" s="644"/>
      <c r="R62" s="644"/>
    </row>
    <row r="63" spans="1:18">
      <c r="Q63" s="644"/>
      <c r="R63" s="644"/>
    </row>
    <row r="64" spans="1:18">
      <c r="R64" s="644"/>
    </row>
    <row r="65" spans="18:18">
      <c r="R65" s="644"/>
    </row>
    <row r="66" spans="18:18">
      <c r="R66" s="644"/>
    </row>
    <row r="67" spans="18:18">
      <c r="R67" s="644"/>
    </row>
  </sheetData>
  <mergeCells count="6">
    <mergeCell ref="A1:J1"/>
    <mergeCell ref="B3:D3"/>
    <mergeCell ref="H3:J3"/>
    <mergeCell ref="A2:J2"/>
    <mergeCell ref="E3:G3"/>
    <mergeCell ref="A3:A4"/>
  </mergeCells>
  <phoneticPr fontId="4" type="noConversion"/>
  <printOptions horizontalCentered="1"/>
  <pageMargins left="0.39370078740157483" right="0.39370078740157483" top="0.39370078740157483" bottom="0.31496062992125984" header="0.19685039370078741" footer="0.19685039370078741"/>
  <pageSetup paperSize="9" scale="95" firstPageNumber="26" orientation="portrait" useFirstPageNumber="1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>
    <tabColor rgb="FF00B050"/>
  </sheetPr>
  <dimension ref="A1:G16"/>
  <sheetViews>
    <sheetView zoomScaleNormal="100" zoomScaleSheetLayoutView="190" workbookViewId="0">
      <selection activeCell="J11" sqref="J11"/>
    </sheetView>
  </sheetViews>
  <sheetFormatPr defaultColWidth="9.140625" defaultRowHeight="12.75"/>
  <cols>
    <col min="1" max="1" width="10.85546875" style="171" customWidth="1"/>
    <col min="2" max="7" width="12.85546875" style="171" customWidth="1"/>
    <col min="8" max="8" width="5.85546875" style="171" customWidth="1"/>
    <col min="9" max="9" width="9.140625" style="171"/>
    <col min="10" max="10" width="8.28515625" style="171" customWidth="1"/>
    <col min="11" max="12" width="9.140625" style="171"/>
    <col min="13" max="13" width="8.7109375" style="171" customWidth="1"/>
    <col min="14" max="16384" width="9.140625" style="171"/>
  </cols>
  <sheetData>
    <row r="1" spans="1:7" s="168" customFormat="1" ht="18.600000000000001" customHeight="1">
      <c r="A1" s="1556" t="s">
        <v>501</v>
      </c>
      <c r="B1" s="1557"/>
      <c r="C1" s="1557"/>
      <c r="D1" s="1557"/>
      <c r="E1" s="1557"/>
      <c r="F1" s="1557"/>
      <c r="G1" s="1558"/>
    </row>
    <row r="2" spans="1:7" s="168" customFormat="1" ht="18.600000000000001" customHeight="1">
      <c r="A2" s="1559" t="s">
        <v>424</v>
      </c>
      <c r="B2" s="1560"/>
      <c r="C2" s="1560"/>
      <c r="D2" s="1560"/>
      <c r="E2" s="1560"/>
      <c r="F2" s="1560"/>
      <c r="G2" s="1561"/>
    </row>
    <row r="3" spans="1:7" s="168" customFormat="1" ht="18" customHeight="1">
      <c r="A3" s="1642" t="s">
        <v>0</v>
      </c>
      <c r="B3" s="1563" t="s">
        <v>372</v>
      </c>
      <c r="C3" s="1565"/>
      <c r="D3" s="1602" t="s">
        <v>367</v>
      </c>
      <c r="E3" s="1602"/>
      <c r="F3" s="1563" t="s">
        <v>373</v>
      </c>
      <c r="G3" s="1603"/>
    </row>
    <row r="4" spans="1:7" s="203" customFormat="1" ht="20.25" customHeight="1">
      <c r="A4" s="1643"/>
      <c r="B4" s="1194" t="s">
        <v>50</v>
      </c>
      <c r="C4" s="1194" t="s">
        <v>45</v>
      </c>
      <c r="D4" s="1194" t="s">
        <v>50</v>
      </c>
      <c r="E4" s="1194" t="s">
        <v>45</v>
      </c>
      <c r="F4" s="1194" t="s">
        <v>50</v>
      </c>
      <c r="G4" s="1212" t="s">
        <v>45</v>
      </c>
    </row>
    <row r="5" spans="1:7" s="168" customFormat="1" ht="15.6" customHeight="1">
      <c r="A5" s="1030" t="s">
        <v>162</v>
      </c>
      <c r="B5" s="1031" t="s">
        <v>163</v>
      </c>
      <c r="C5" s="1031" t="s">
        <v>164</v>
      </c>
      <c r="D5" s="1031" t="s">
        <v>165</v>
      </c>
      <c r="E5" s="1031" t="s">
        <v>166</v>
      </c>
      <c r="F5" s="1031" t="s">
        <v>167</v>
      </c>
      <c r="G5" s="1032" t="s">
        <v>168</v>
      </c>
    </row>
    <row r="6" spans="1:7" s="168" customFormat="1" ht="15.75" customHeight="1">
      <c r="A6" s="658" t="s">
        <v>293</v>
      </c>
      <c r="B6" s="659">
        <v>15.35</v>
      </c>
      <c r="C6" s="246">
        <v>13.78</v>
      </c>
      <c r="D6" s="659">
        <v>0.8</v>
      </c>
      <c r="E6" s="246">
        <v>1.25</v>
      </c>
      <c r="F6" s="659">
        <v>7.15</v>
      </c>
      <c r="G6" s="241">
        <v>4.2</v>
      </c>
    </row>
    <row r="7" spans="1:7" s="168" customFormat="1" ht="15.75" customHeight="1">
      <c r="A7" s="658" t="s">
        <v>301</v>
      </c>
      <c r="B7" s="659">
        <v>15</v>
      </c>
      <c r="C7" s="246">
        <v>13.85</v>
      </c>
      <c r="D7" s="659">
        <v>0.8</v>
      </c>
      <c r="E7" s="246">
        <v>1.18</v>
      </c>
      <c r="F7" s="659">
        <v>7.48</v>
      </c>
      <c r="G7" s="241">
        <v>4.74</v>
      </c>
    </row>
    <row r="8" spans="1:7" s="168" customFormat="1" ht="18.399999999999999" customHeight="1">
      <c r="A8" s="658" t="s">
        <v>309</v>
      </c>
      <c r="B8" s="659">
        <v>13.15</v>
      </c>
      <c r="C8" s="246">
        <v>13.73</v>
      </c>
      <c r="D8" s="659">
        <v>0.86</v>
      </c>
      <c r="E8" s="246">
        <v>1.08</v>
      </c>
      <c r="F8" s="659">
        <v>7.44</v>
      </c>
      <c r="G8" s="241">
        <v>4.8899999999999997</v>
      </c>
    </row>
    <row r="9" spans="1:7" s="168" customFormat="1" ht="18.399999999999999" customHeight="1">
      <c r="A9" s="658" t="s">
        <v>319</v>
      </c>
      <c r="B9" s="659">
        <v>15.21</v>
      </c>
      <c r="C9" s="246">
        <v>16.95</v>
      </c>
      <c r="D9" s="659">
        <v>0.95</v>
      </c>
      <c r="E9" s="246">
        <v>1.39</v>
      </c>
      <c r="F9" s="659">
        <v>8.67</v>
      </c>
      <c r="G9" s="241">
        <v>6.22</v>
      </c>
    </row>
    <row r="10" spans="1:7" s="168" customFormat="1" ht="18.399999999999999" customHeight="1">
      <c r="A10" s="658" t="s">
        <v>332</v>
      </c>
      <c r="B10" s="659">
        <v>17.893764289517364</v>
      </c>
      <c r="C10" s="246">
        <v>16.57</v>
      </c>
      <c r="D10" s="659">
        <v>0.98553054662379413</v>
      </c>
      <c r="E10" s="246">
        <v>1.44</v>
      </c>
      <c r="F10" s="659">
        <v>9.6362106814940613</v>
      </c>
      <c r="G10" s="241">
        <v>4.8899999999999997</v>
      </c>
    </row>
    <row r="11" spans="1:7" s="168" customFormat="1" ht="18.399999999999999" customHeight="1">
      <c r="A11" s="658" t="s">
        <v>345</v>
      </c>
      <c r="B11" s="659">
        <v>19.42148140573337</v>
      </c>
      <c r="C11" s="246">
        <v>13.86</v>
      </c>
      <c r="D11" s="659">
        <v>0.92964329643296439</v>
      </c>
      <c r="E11" s="246">
        <v>0.92</v>
      </c>
      <c r="F11" s="659">
        <v>10.316848644252563</v>
      </c>
      <c r="G11" s="241">
        <v>5.62</v>
      </c>
    </row>
    <row r="12" spans="1:7" s="168" customFormat="1" ht="18.399999999999999" customHeight="1">
      <c r="A12" s="658" t="s">
        <v>418</v>
      </c>
      <c r="B12" s="659">
        <v>15.227415406883518</v>
      </c>
      <c r="C12" s="246">
        <v>15.15</v>
      </c>
      <c r="D12" s="659">
        <v>0.9828900498024421</v>
      </c>
      <c r="E12" s="246">
        <v>1.19</v>
      </c>
      <c r="F12" s="659">
        <v>9.5382174393126196</v>
      </c>
      <c r="G12" s="241">
        <v>6.09</v>
      </c>
    </row>
    <row r="13" spans="1:7" s="168" customFormat="1" ht="18.399999999999999" customHeight="1">
      <c r="A13" s="658" t="s">
        <v>431</v>
      </c>
      <c r="B13" s="659">
        <v>22.99</v>
      </c>
      <c r="C13" s="246">
        <v>13.94</v>
      </c>
      <c r="D13" s="659">
        <v>1.05</v>
      </c>
      <c r="E13" s="246">
        <v>1.27</v>
      </c>
      <c r="F13" s="659">
        <v>13.1</v>
      </c>
      <c r="G13" s="241">
        <v>5.31</v>
      </c>
    </row>
    <row r="14" spans="1:7" s="168" customFormat="1" ht="18.399999999999999" customHeight="1">
      <c r="A14" s="658" t="s">
        <v>504</v>
      </c>
      <c r="B14" s="659">
        <v>24.88</v>
      </c>
      <c r="C14" s="246">
        <v>13.24</v>
      </c>
      <c r="D14" s="659">
        <v>1.21</v>
      </c>
      <c r="E14" s="246">
        <v>1.19</v>
      </c>
      <c r="F14" s="659">
        <v>14.99</v>
      </c>
      <c r="G14" s="241">
        <v>5.41</v>
      </c>
    </row>
    <row r="15" spans="1:7" s="168" customFormat="1" ht="18.399999999999999" customHeight="1" thickBot="1">
      <c r="A15" s="1398" t="s">
        <v>538</v>
      </c>
      <c r="B15" s="1399">
        <v>23.498674158776065</v>
      </c>
      <c r="C15" s="1400">
        <v>14.63</v>
      </c>
      <c r="D15" s="1399">
        <v>1.3081636848181346</v>
      </c>
      <c r="E15" s="1400">
        <v>0.98</v>
      </c>
      <c r="F15" s="1399">
        <v>15.13540497806706</v>
      </c>
      <c r="G15" s="1401">
        <v>5.79</v>
      </c>
    </row>
    <row r="16" spans="1:7" ht="13.5" thickTop="1"/>
  </sheetData>
  <mergeCells count="6">
    <mergeCell ref="A1:G1"/>
    <mergeCell ref="B3:C3"/>
    <mergeCell ref="D3:E3"/>
    <mergeCell ref="F3:G3"/>
    <mergeCell ref="A3:A4"/>
    <mergeCell ref="A2:G2"/>
  </mergeCells>
  <phoneticPr fontId="4" type="noConversion"/>
  <printOptions horizontalCentered="1"/>
  <pageMargins left="0.39370078740157483" right="0.39370078740157483" top="0.59055118110236227" bottom="0.59055118110236227" header="0.19685039370078741" footer="0.35433070866141736"/>
  <pageSetup paperSize="9" firstPageNumber="27" orientation="portrait" useFirstPageNumber="1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syncVertical="1" syncRef="C6" transitionEvaluation="1" codeName="Sheet31">
    <tabColor rgb="FF00B050"/>
  </sheetPr>
  <dimension ref="A1:K61"/>
  <sheetViews>
    <sheetView zoomScaleNormal="100" zoomScaleSheetLayoutView="115" workbookViewId="0">
      <pane xSplit="2" ySplit="5" topLeftCell="C6" activePane="bottomRight" state="frozen"/>
      <selection activeCell="R40" sqref="R40"/>
      <selection pane="topRight" activeCell="R40" sqref="R40"/>
      <selection pane="bottomLeft" activeCell="R40" sqref="R40"/>
      <selection pane="bottomRight" activeCell="M7" sqref="M7"/>
    </sheetView>
  </sheetViews>
  <sheetFormatPr defaultColWidth="12.140625" defaultRowHeight="12.75"/>
  <cols>
    <col min="1" max="1" width="13.42578125" style="673" customWidth="1"/>
    <col min="2" max="2" width="6.7109375" style="673" customWidth="1"/>
    <col min="3" max="3" width="9.42578125" style="673" customWidth="1"/>
    <col min="4" max="4" width="7.5703125" style="673" bestFit="1" customWidth="1"/>
    <col min="5" max="5" width="7.7109375" style="673" bestFit="1" customWidth="1"/>
    <col min="6" max="6" width="9.42578125" style="673" customWidth="1"/>
    <col min="7" max="7" width="7.5703125" style="673" bestFit="1" customWidth="1"/>
    <col min="8" max="8" width="7.7109375" style="673" bestFit="1" customWidth="1"/>
    <col min="9" max="9" width="9.42578125" style="673" customWidth="1"/>
    <col min="10" max="10" width="10.42578125" style="673" bestFit="1" customWidth="1"/>
    <col min="11" max="11" width="9.140625" style="673" bestFit="1" customWidth="1"/>
    <col min="12" max="26" width="7.28515625" style="673" customWidth="1"/>
    <col min="27" max="16384" width="12.140625" style="673"/>
  </cols>
  <sheetData>
    <row r="1" spans="1:11" s="660" customFormat="1" ht="29.45" customHeight="1">
      <c r="A1" s="1789" t="s">
        <v>502</v>
      </c>
      <c r="B1" s="1790"/>
      <c r="C1" s="1790"/>
      <c r="D1" s="1790"/>
      <c r="E1" s="1790"/>
      <c r="F1" s="1790"/>
      <c r="G1" s="1790"/>
      <c r="H1" s="1790"/>
      <c r="I1" s="1790"/>
      <c r="J1" s="1790"/>
      <c r="K1" s="1791"/>
    </row>
    <row r="2" spans="1:11" s="660" customFormat="1" ht="15.75" customHeight="1">
      <c r="A2" s="1796" t="s">
        <v>79</v>
      </c>
      <c r="B2" s="1792" t="s">
        <v>368</v>
      </c>
      <c r="C2" s="1786" t="s">
        <v>431</v>
      </c>
      <c r="D2" s="1787"/>
      <c r="E2" s="1795"/>
      <c r="F2" s="1786" t="s">
        <v>504</v>
      </c>
      <c r="G2" s="1787"/>
      <c r="H2" s="1795"/>
      <c r="I2" s="1786" t="s">
        <v>538</v>
      </c>
      <c r="J2" s="1787"/>
      <c r="K2" s="1788"/>
    </row>
    <row r="3" spans="1:11" s="661" customFormat="1" ht="14.25" customHeight="1">
      <c r="A3" s="1797"/>
      <c r="B3" s="1793"/>
      <c r="C3" s="1215" t="s">
        <v>2</v>
      </c>
      <c r="D3" s="1213" t="s">
        <v>80</v>
      </c>
      <c r="E3" s="1216" t="s">
        <v>81</v>
      </c>
      <c r="F3" s="1215" t="s">
        <v>2</v>
      </c>
      <c r="G3" s="1213" t="s">
        <v>80</v>
      </c>
      <c r="H3" s="1216" t="s">
        <v>81</v>
      </c>
      <c r="I3" s="1215" t="s">
        <v>2</v>
      </c>
      <c r="J3" s="1213" t="s">
        <v>80</v>
      </c>
      <c r="K3" s="1217" t="s">
        <v>81</v>
      </c>
    </row>
    <row r="4" spans="1:11" s="661" customFormat="1" ht="13.9" customHeight="1">
      <c r="A4" s="1798"/>
      <c r="B4" s="1794"/>
      <c r="C4" s="1213" t="s">
        <v>154</v>
      </c>
      <c r="D4" s="1213" t="s">
        <v>82</v>
      </c>
      <c r="E4" s="1214" t="s">
        <v>83</v>
      </c>
      <c r="F4" s="1213" t="s">
        <v>154</v>
      </c>
      <c r="G4" s="1213" t="s">
        <v>82</v>
      </c>
      <c r="H4" s="1214" t="s">
        <v>83</v>
      </c>
      <c r="I4" s="1213" t="s">
        <v>154</v>
      </c>
      <c r="J4" s="1213" t="s">
        <v>82</v>
      </c>
      <c r="K4" s="1218" t="s">
        <v>83</v>
      </c>
    </row>
    <row r="5" spans="1:11" s="661" customFormat="1" ht="17.25" customHeight="1">
      <c r="A5" s="1030" t="s">
        <v>162</v>
      </c>
      <c r="B5" s="958" t="s">
        <v>163</v>
      </c>
      <c r="C5" s="1025" t="s">
        <v>164</v>
      </c>
      <c r="D5" s="1025" t="s">
        <v>165</v>
      </c>
      <c r="E5" s="1025" t="s">
        <v>166</v>
      </c>
      <c r="F5" s="1025" t="s">
        <v>167</v>
      </c>
      <c r="G5" s="1025" t="s">
        <v>168</v>
      </c>
      <c r="H5" s="1025" t="s">
        <v>169</v>
      </c>
      <c r="I5" s="1025" t="s">
        <v>170</v>
      </c>
      <c r="J5" s="1025" t="s">
        <v>171</v>
      </c>
      <c r="K5" s="1033" t="s">
        <v>172</v>
      </c>
    </row>
    <row r="6" spans="1:11" s="660" customFormat="1" ht="18.600000000000001" customHeight="1">
      <c r="A6" s="662" t="s">
        <v>37</v>
      </c>
      <c r="B6" s="663" t="s">
        <v>85</v>
      </c>
      <c r="C6" s="734">
        <v>26.05</v>
      </c>
      <c r="D6" s="268">
        <v>2.2869999999999999</v>
      </c>
      <c r="E6" s="664">
        <v>11.390467861827723</v>
      </c>
      <c r="F6" s="734">
        <v>38.377000000000002</v>
      </c>
      <c r="G6" s="268">
        <v>2.8220000000000001</v>
      </c>
      <c r="H6" s="664">
        <v>13.59922041105599</v>
      </c>
      <c r="I6" s="734">
        <v>43.559927766000001</v>
      </c>
      <c r="J6" s="268">
        <v>1.6785527899999999</v>
      </c>
      <c r="K6" s="1402">
        <v>25.950883419043379</v>
      </c>
    </row>
    <row r="7" spans="1:11" s="660" customFormat="1" ht="18.600000000000001" customHeight="1">
      <c r="A7" s="665" t="s">
        <v>38</v>
      </c>
      <c r="B7" s="666" t="s">
        <v>85</v>
      </c>
      <c r="C7" s="637">
        <v>35.493000000000002</v>
      </c>
      <c r="D7" s="265">
        <v>4.069</v>
      </c>
      <c r="E7" s="246">
        <v>8.7227820103219464</v>
      </c>
      <c r="F7" s="637">
        <v>40.33</v>
      </c>
      <c r="G7" s="265">
        <v>4.0179999999999998</v>
      </c>
      <c r="H7" s="246">
        <v>10.037332005973122</v>
      </c>
      <c r="I7" s="637">
        <v>39.362828</v>
      </c>
      <c r="J7" s="265">
        <v>4.7555699999999996</v>
      </c>
      <c r="K7" s="241">
        <v>8.2772050458725257</v>
      </c>
    </row>
    <row r="8" spans="1:11" s="660" customFormat="1" ht="18.600000000000001" customHeight="1">
      <c r="A8" s="665" t="s">
        <v>39</v>
      </c>
      <c r="B8" s="666" t="s">
        <v>85</v>
      </c>
      <c r="C8" s="736">
        <v>75.224000000000004</v>
      </c>
      <c r="D8" s="265">
        <v>7.0430000000000001</v>
      </c>
      <c r="E8" s="246">
        <v>10.680675848360075</v>
      </c>
      <c r="F8" s="736">
        <v>85.272999999999996</v>
      </c>
      <c r="G8" s="265">
        <v>6.7549999999999999</v>
      </c>
      <c r="H8" s="246">
        <v>12.623686158401185</v>
      </c>
      <c r="I8" s="736">
        <v>86.831885755000002</v>
      </c>
      <c r="J8" s="265">
        <v>6.4679866696377601</v>
      </c>
      <c r="K8" s="241">
        <v>13.424870858594863</v>
      </c>
    </row>
    <row r="9" spans="1:11" s="660" customFormat="1" ht="18.600000000000001" customHeight="1">
      <c r="A9" s="665" t="s">
        <v>40</v>
      </c>
      <c r="B9" s="666" t="s">
        <v>85</v>
      </c>
      <c r="C9" s="637">
        <v>131.16900000000001</v>
      </c>
      <c r="D9" s="265">
        <v>2.9889999999999999</v>
      </c>
      <c r="E9" s="246">
        <v>43.883907661425233</v>
      </c>
      <c r="F9" s="637">
        <v>136.148</v>
      </c>
      <c r="G9" s="265">
        <v>3.2890000000000001</v>
      </c>
      <c r="H9" s="246">
        <v>41.39495287321374</v>
      </c>
      <c r="I9" s="637">
        <v>139.00022000000001</v>
      </c>
      <c r="J9" s="265">
        <v>3.6859999999999999</v>
      </c>
      <c r="K9" s="241">
        <v>37.710314704286496</v>
      </c>
    </row>
    <row r="10" spans="1:11" s="660" customFormat="1" ht="18.600000000000001" customHeight="1">
      <c r="A10" s="665" t="s">
        <v>41</v>
      </c>
      <c r="B10" s="666" t="s">
        <v>85</v>
      </c>
      <c r="C10" s="637">
        <v>61.396000000000001</v>
      </c>
      <c r="D10" s="265">
        <v>4.3</v>
      </c>
      <c r="E10" s="246">
        <v>14.278139534883723</v>
      </c>
      <c r="F10" s="637">
        <v>66.242000000000004</v>
      </c>
      <c r="G10" s="265">
        <v>3.8119999999999998</v>
      </c>
      <c r="H10" s="246">
        <v>17.377229800629593</v>
      </c>
      <c r="I10" s="637">
        <v>66.344762216999996</v>
      </c>
      <c r="J10" s="265">
        <v>6.9016899999999994</v>
      </c>
      <c r="K10" s="241">
        <v>9.6128284836032911</v>
      </c>
    </row>
    <row r="11" spans="1:11" s="660" customFormat="1" ht="18.600000000000001" customHeight="1">
      <c r="A11" s="665" t="s">
        <v>42</v>
      </c>
      <c r="B11" s="666" t="s">
        <v>85</v>
      </c>
      <c r="C11" s="637">
        <v>153.31299999999999</v>
      </c>
      <c r="D11" s="265">
        <v>3.8879999999999999</v>
      </c>
      <c r="E11" s="246">
        <v>39.432355967078188</v>
      </c>
      <c r="F11" s="637">
        <v>175.41200000000001</v>
      </c>
      <c r="G11" s="265">
        <v>2.9649999999999999</v>
      </c>
      <c r="H11" s="246">
        <v>51.64</v>
      </c>
      <c r="I11" s="637">
        <v>155.61898267000001</v>
      </c>
      <c r="J11" s="265">
        <v>3.0515202264888699</v>
      </c>
      <c r="K11" s="241">
        <v>50.997198484591991</v>
      </c>
    </row>
    <row r="12" spans="1:11" s="660" customFormat="1" ht="18.600000000000001" customHeight="1">
      <c r="A12" s="648" t="s">
        <v>294</v>
      </c>
      <c r="B12" s="666" t="s">
        <v>85</v>
      </c>
      <c r="C12" s="632">
        <v>2.0510000000000002</v>
      </c>
      <c r="D12" s="265">
        <v>4.5999999999999999E-2</v>
      </c>
      <c r="E12" s="246">
        <v>44.586956521739133</v>
      </c>
      <c r="F12" s="632">
        <v>0.16</v>
      </c>
      <c r="G12" s="265">
        <v>4.5999999999999999E-2</v>
      </c>
      <c r="H12" s="246">
        <v>3.4782608695652177</v>
      </c>
      <c r="I12" s="632"/>
      <c r="J12" s="265"/>
      <c r="K12" s="241"/>
    </row>
    <row r="13" spans="1:11" s="660" customFormat="1" ht="18.600000000000001" customHeight="1">
      <c r="A13" s="665" t="s">
        <v>43</v>
      </c>
      <c r="B13" s="666" t="s">
        <v>85</v>
      </c>
      <c r="C13" s="637">
        <v>192.821</v>
      </c>
      <c r="D13" s="265">
        <v>4.7210000000000001</v>
      </c>
      <c r="E13" s="246">
        <v>40.84325354797712</v>
      </c>
      <c r="F13" s="637">
        <v>205.643</v>
      </c>
      <c r="G13" s="265">
        <v>6.2960000000000003</v>
      </c>
      <c r="H13" s="246">
        <v>32.66248411689962</v>
      </c>
      <c r="I13" s="637">
        <v>224.69461447999998</v>
      </c>
      <c r="J13" s="265">
        <v>5.568460172</v>
      </c>
      <c r="K13" s="241">
        <v>40.351301354337849</v>
      </c>
    </row>
    <row r="14" spans="1:11" s="660" customFormat="1" ht="18.600000000000001" customHeight="1">
      <c r="A14" s="665" t="s">
        <v>44</v>
      </c>
      <c r="B14" s="666" t="s">
        <v>85</v>
      </c>
      <c r="C14" s="637">
        <v>0.2</v>
      </c>
      <c r="D14" s="265">
        <v>0.13</v>
      </c>
      <c r="E14" s="246">
        <v>1.5384615384615385</v>
      </c>
      <c r="F14" s="637">
        <v>0.2</v>
      </c>
      <c r="G14" s="265">
        <v>5.1999999999999998E-2</v>
      </c>
      <c r="H14" s="246">
        <v>3.8461538461538467</v>
      </c>
      <c r="I14" s="637">
        <v>0.2</v>
      </c>
      <c r="J14" s="265">
        <v>4.57884E-2</v>
      </c>
      <c r="K14" s="241">
        <v>4.3679185121122384</v>
      </c>
    </row>
    <row r="15" spans="1:11" s="667" customFormat="1" ht="18.600000000000001" customHeight="1">
      <c r="A15" s="1034" t="s">
        <v>50</v>
      </c>
      <c r="B15" s="1035" t="s">
        <v>85</v>
      </c>
      <c r="C15" s="1037">
        <v>677.7170000000001</v>
      </c>
      <c r="D15" s="1037">
        <v>29.472999999999999</v>
      </c>
      <c r="E15" s="950">
        <v>22.994503443829949</v>
      </c>
      <c r="F15" s="1037">
        <v>747.78500000000008</v>
      </c>
      <c r="G15" s="1037">
        <v>30.055</v>
      </c>
      <c r="H15" s="950">
        <v>24.880552320745302</v>
      </c>
      <c r="I15" s="1037">
        <v>755.61322088800011</v>
      </c>
      <c r="J15" s="1037">
        <v>32.155568258126628</v>
      </c>
      <c r="K15" s="951">
        <v>23.498674158776065</v>
      </c>
    </row>
    <row r="16" spans="1:11" s="667" customFormat="1" ht="18.600000000000001" customHeight="1">
      <c r="A16" s="1034" t="s">
        <v>45</v>
      </c>
      <c r="B16" s="1035" t="s">
        <v>85</v>
      </c>
      <c r="C16" s="1037">
        <v>59.938000000000002</v>
      </c>
      <c r="D16" s="1037">
        <v>2.7149999999999999</v>
      </c>
      <c r="E16" s="950">
        <v>13.94</v>
      </c>
      <c r="F16" s="1037">
        <v>64.09</v>
      </c>
      <c r="G16" s="1037">
        <v>2.6349999999999998</v>
      </c>
      <c r="H16" s="950">
        <v>13.24</v>
      </c>
      <c r="I16" s="1037">
        <v>64.199217825999995</v>
      </c>
      <c r="J16" s="1037">
        <v>2.5784889999999998</v>
      </c>
      <c r="K16" s="951">
        <v>14.63</v>
      </c>
    </row>
    <row r="17" spans="1:11" s="660" customFormat="1" ht="18.600000000000001" customHeight="1">
      <c r="A17" s="662" t="s">
        <v>37</v>
      </c>
      <c r="B17" s="663" t="s">
        <v>86</v>
      </c>
      <c r="C17" s="734">
        <v>8.968</v>
      </c>
      <c r="D17" s="268">
        <v>10.099</v>
      </c>
      <c r="E17" s="664">
        <v>0.88800871373403301</v>
      </c>
      <c r="F17" s="734">
        <v>9.1829999999999998</v>
      </c>
      <c r="G17" s="268">
        <v>9.6780000000000008</v>
      </c>
      <c r="H17" s="664">
        <v>0.94885306881587095</v>
      </c>
      <c r="I17" s="734">
        <v>8.4746805980000008</v>
      </c>
      <c r="J17" s="268">
        <v>8.9989830000000008</v>
      </c>
      <c r="K17" s="1402">
        <v>0.94173759390366663</v>
      </c>
    </row>
    <row r="18" spans="1:11" s="660" customFormat="1" ht="18.600000000000001" customHeight="1">
      <c r="A18" s="665" t="s">
        <v>38</v>
      </c>
      <c r="B18" s="666" t="s">
        <v>86</v>
      </c>
      <c r="C18" s="735">
        <v>0.68600000000000005</v>
      </c>
      <c r="D18" s="265">
        <v>3.552</v>
      </c>
      <c r="E18" s="246">
        <v>0.19313063063063066</v>
      </c>
      <c r="F18" s="735">
        <v>0.76600000000000001</v>
      </c>
      <c r="G18" s="265">
        <v>2.9670000000000001</v>
      </c>
      <c r="H18" s="246">
        <v>0.25817323896191441</v>
      </c>
      <c r="I18" s="735">
        <v>1.1393356020000001</v>
      </c>
      <c r="J18" s="265">
        <v>1.5146139999999999</v>
      </c>
      <c r="K18" s="241">
        <v>0.75222835785223174</v>
      </c>
    </row>
    <row r="19" spans="1:11" s="660" customFormat="1" ht="18.600000000000001" customHeight="1">
      <c r="A19" s="665" t="s">
        <v>39</v>
      </c>
      <c r="B19" s="666" t="s">
        <v>86</v>
      </c>
      <c r="C19" s="637">
        <v>0.86299999999999999</v>
      </c>
      <c r="D19" s="265">
        <v>0.40600000000000003</v>
      </c>
      <c r="E19" s="246">
        <v>2.125615763546798</v>
      </c>
      <c r="F19" s="637">
        <v>0.78100000000000003</v>
      </c>
      <c r="G19" s="265">
        <v>0.38500000000000001</v>
      </c>
      <c r="H19" s="246">
        <v>2.0285714285714285</v>
      </c>
      <c r="I19" s="637">
        <v>0.70503300000000002</v>
      </c>
      <c r="J19" s="265">
        <v>0.42557799999999996</v>
      </c>
      <c r="K19" s="241">
        <v>1.6566481350069791</v>
      </c>
    </row>
    <row r="20" spans="1:11" s="660" customFormat="1" ht="18.600000000000001" customHeight="1">
      <c r="A20" s="665" t="s">
        <v>40</v>
      </c>
      <c r="B20" s="666" t="s">
        <v>86</v>
      </c>
      <c r="C20" s="736">
        <v>0</v>
      </c>
      <c r="D20" s="265">
        <v>0</v>
      </c>
      <c r="E20" s="246"/>
      <c r="F20" s="736"/>
      <c r="G20" s="265"/>
      <c r="H20" s="246"/>
      <c r="I20" s="736"/>
      <c r="J20" s="265"/>
      <c r="K20" s="241"/>
    </row>
    <row r="21" spans="1:11" s="660" customFormat="1" ht="18.600000000000001" customHeight="1">
      <c r="A21" s="665" t="s">
        <v>41</v>
      </c>
      <c r="B21" s="666" t="s">
        <v>86</v>
      </c>
      <c r="C21" s="637">
        <v>2.887</v>
      </c>
      <c r="D21" s="265">
        <v>3.0739999999999998</v>
      </c>
      <c r="E21" s="246">
        <v>0.93916720884840599</v>
      </c>
      <c r="F21" s="637">
        <v>2.871</v>
      </c>
      <c r="G21" s="265">
        <v>2.7210000000000001</v>
      </c>
      <c r="H21" s="246">
        <v>1.0551267916207276</v>
      </c>
      <c r="I21" s="637">
        <v>2.776208864</v>
      </c>
      <c r="J21" s="265">
        <v>2.4751499999999997</v>
      </c>
      <c r="K21" s="241">
        <v>1.1216325733793913</v>
      </c>
    </row>
    <row r="22" spans="1:11" s="660" customFormat="1" ht="18.600000000000001" customHeight="1">
      <c r="A22" s="665" t="s">
        <v>42</v>
      </c>
      <c r="B22" s="666" t="s">
        <v>86</v>
      </c>
      <c r="C22" s="637">
        <v>11.641999999999999</v>
      </c>
      <c r="D22" s="265">
        <v>6.2969999999999997</v>
      </c>
      <c r="E22" s="246">
        <v>1.8488168969350485</v>
      </c>
      <c r="F22" s="637">
        <v>11.964</v>
      </c>
      <c r="G22" s="265">
        <v>4.923</v>
      </c>
      <c r="H22" s="246">
        <v>2.4302254722730043</v>
      </c>
      <c r="I22" s="637">
        <v>11.868164</v>
      </c>
      <c r="J22" s="265">
        <v>5.36528620032984</v>
      </c>
      <c r="K22" s="241">
        <v>2.2120281298825</v>
      </c>
    </row>
    <row r="23" spans="1:11" s="660" customFormat="1" ht="18.600000000000001" customHeight="1">
      <c r="A23" s="648" t="s">
        <v>294</v>
      </c>
      <c r="B23" s="666" t="s">
        <v>86</v>
      </c>
      <c r="C23" s="637">
        <v>0</v>
      </c>
      <c r="D23" s="265">
        <v>0</v>
      </c>
      <c r="E23" s="246"/>
      <c r="F23" s="637"/>
      <c r="G23" s="265"/>
      <c r="H23" s="246"/>
      <c r="I23" s="637"/>
      <c r="J23" s="265"/>
      <c r="K23" s="241"/>
    </row>
    <row r="24" spans="1:11" s="660" customFormat="1" ht="18.600000000000001" customHeight="1">
      <c r="A24" s="665" t="s">
        <v>43</v>
      </c>
      <c r="B24" s="666" t="s">
        <v>86</v>
      </c>
      <c r="C24" s="637">
        <v>0.441</v>
      </c>
      <c r="D24" s="265">
        <v>0.73699999999999999</v>
      </c>
      <c r="E24" s="246">
        <v>0.59837177747625514</v>
      </c>
      <c r="F24" s="637">
        <v>0.45600000000000002</v>
      </c>
      <c r="G24" s="265">
        <v>0.86499999999999999</v>
      </c>
      <c r="H24" s="246">
        <v>0.52716763005780354</v>
      </c>
      <c r="I24" s="637">
        <v>0.47902099999999997</v>
      </c>
      <c r="J24" s="265">
        <v>0.58320000000000005</v>
      </c>
      <c r="K24" s="241">
        <v>0.82136659807956092</v>
      </c>
    </row>
    <row r="25" spans="1:11" s="660" customFormat="1" ht="18.600000000000001" customHeight="1">
      <c r="A25" s="665" t="s">
        <v>44</v>
      </c>
      <c r="B25" s="666" t="s">
        <v>86</v>
      </c>
      <c r="C25" s="637">
        <v>0</v>
      </c>
      <c r="D25" s="265">
        <v>2.5999999999999999E-2</v>
      </c>
      <c r="E25" s="246">
        <v>0</v>
      </c>
      <c r="F25" s="637"/>
      <c r="G25" s="265">
        <v>1.6E-2</v>
      </c>
      <c r="H25" s="246">
        <v>0</v>
      </c>
      <c r="I25" s="637">
        <v>0</v>
      </c>
      <c r="J25" s="265">
        <v>8.6164000000000004E-2</v>
      </c>
      <c r="K25" s="241">
        <v>0</v>
      </c>
    </row>
    <row r="26" spans="1:11" s="667" customFormat="1" ht="16.5" customHeight="1">
      <c r="A26" s="1034" t="s">
        <v>50</v>
      </c>
      <c r="B26" s="1035" t="s">
        <v>86</v>
      </c>
      <c r="C26" s="1036">
        <v>25.486999999999998</v>
      </c>
      <c r="D26" s="1036">
        <v>24.190999999999999</v>
      </c>
      <c r="E26" s="950">
        <v>1.0535736430904055</v>
      </c>
      <c r="F26" s="1036">
        <v>26.021000000000001</v>
      </c>
      <c r="G26" s="1036">
        <v>21.554999999999996</v>
      </c>
      <c r="H26" s="950">
        <v>1.2071909069821389</v>
      </c>
      <c r="I26" s="1036">
        <v>25.442443064000003</v>
      </c>
      <c r="J26" s="1036">
        <v>19.448975200329841</v>
      </c>
      <c r="K26" s="951">
        <v>1.3081636848181346</v>
      </c>
    </row>
    <row r="27" spans="1:11" s="667" customFormat="1" ht="16.5" customHeight="1">
      <c r="A27" s="1034" t="s">
        <v>45</v>
      </c>
      <c r="B27" s="1035" t="s">
        <v>86</v>
      </c>
      <c r="C27" s="1036">
        <v>7.1989999999999998</v>
      </c>
      <c r="D27" s="1036">
        <v>5.2</v>
      </c>
      <c r="E27" s="950">
        <v>1.27</v>
      </c>
      <c r="F27" s="1036">
        <v>5.931</v>
      </c>
      <c r="G27" s="1036">
        <v>4.9800000000000004</v>
      </c>
      <c r="H27" s="950">
        <v>1.19</v>
      </c>
      <c r="I27" s="1036">
        <v>4.8071781400000297</v>
      </c>
      <c r="J27" s="1036">
        <v>4.7827339999999996</v>
      </c>
      <c r="K27" s="951">
        <v>0.98</v>
      </c>
    </row>
    <row r="28" spans="1:11" s="660" customFormat="1" ht="18.600000000000001" customHeight="1">
      <c r="A28" s="668" t="s">
        <v>37</v>
      </c>
      <c r="B28" s="669" t="s">
        <v>101</v>
      </c>
      <c r="C28" s="670">
        <v>35.018000000000001</v>
      </c>
      <c r="D28" s="268">
        <v>12.385999999999999</v>
      </c>
      <c r="E28" s="664">
        <v>2.8272242854836107</v>
      </c>
      <c r="F28" s="670">
        <v>47.56</v>
      </c>
      <c r="G28" s="268">
        <v>12.5</v>
      </c>
      <c r="H28" s="664">
        <v>3.8048000000000002</v>
      </c>
      <c r="I28" s="670">
        <v>52.034608364</v>
      </c>
      <c r="J28" s="268">
        <v>10.67753579</v>
      </c>
      <c r="K28" s="1402">
        <v>4.8732787590122424</v>
      </c>
    </row>
    <row r="29" spans="1:11" s="660" customFormat="1" ht="18.600000000000001" customHeight="1">
      <c r="A29" s="671" t="s">
        <v>38</v>
      </c>
      <c r="B29" s="672" t="s">
        <v>101</v>
      </c>
      <c r="C29" s="258">
        <v>36.179000000000002</v>
      </c>
      <c r="D29" s="265">
        <v>7.6210000000000004</v>
      </c>
      <c r="E29" s="246">
        <v>4.7472772602020736</v>
      </c>
      <c r="F29" s="258">
        <v>41.095999999999997</v>
      </c>
      <c r="G29" s="265">
        <v>6.9849999999999994</v>
      </c>
      <c r="H29" s="246">
        <v>5.8834645669291339</v>
      </c>
      <c r="I29" s="258">
        <v>40.502163602000003</v>
      </c>
      <c r="J29" s="265">
        <v>6.2701839999999995</v>
      </c>
      <c r="K29" s="241">
        <v>6.4594856549664259</v>
      </c>
    </row>
    <row r="30" spans="1:11" s="660" customFormat="1" ht="18.600000000000001" customHeight="1">
      <c r="A30" s="671" t="s">
        <v>39</v>
      </c>
      <c r="B30" s="672" t="s">
        <v>101</v>
      </c>
      <c r="C30" s="258">
        <v>76.087000000000003</v>
      </c>
      <c r="D30" s="265">
        <v>7.4489999999999998</v>
      </c>
      <c r="E30" s="246">
        <v>10.214391193448785</v>
      </c>
      <c r="F30" s="258">
        <v>86.054000000000002</v>
      </c>
      <c r="G30" s="265">
        <v>7.14</v>
      </c>
      <c r="H30" s="246">
        <v>12.052380952380954</v>
      </c>
      <c r="I30" s="258">
        <v>87.536918755000002</v>
      </c>
      <c r="J30" s="265">
        <v>6.8935646696377599</v>
      </c>
      <c r="K30" s="241">
        <v>12.698353167056</v>
      </c>
    </row>
    <row r="31" spans="1:11" s="660" customFormat="1" ht="18.600000000000001" customHeight="1">
      <c r="A31" s="671" t="s">
        <v>40</v>
      </c>
      <c r="B31" s="672" t="s">
        <v>101</v>
      </c>
      <c r="C31" s="258">
        <v>131.16900000000001</v>
      </c>
      <c r="D31" s="265">
        <v>2.9889999999999999</v>
      </c>
      <c r="E31" s="246">
        <v>43.883907661425233</v>
      </c>
      <c r="F31" s="258">
        <v>136.148</v>
      </c>
      <c r="G31" s="265">
        <v>3.2890000000000001</v>
      </c>
      <c r="H31" s="246">
        <v>41.39495287321374</v>
      </c>
      <c r="I31" s="258">
        <v>139.00022000000001</v>
      </c>
      <c r="J31" s="265">
        <v>3.6859999999999999</v>
      </c>
      <c r="K31" s="241">
        <v>37.710314704286496</v>
      </c>
    </row>
    <row r="32" spans="1:11" s="660" customFormat="1" ht="18.600000000000001" customHeight="1">
      <c r="A32" s="671" t="s">
        <v>41</v>
      </c>
      <c r="B32" s="672" t="s">
        <v>101</v>
      </c>
      <c r="C32" s="258">
        <v>64.283000000000001</v>
      </c>
      <c r="D32" s="265">
        <v>7.3739999999999997</v>
      </c>
      <c r="E32" s="246">
        <v>8.7175210197992961</v>
      </c>
      <c r="F32" s="258">
        <v>69.113</v>
      </c>
      <c r="G32" s="265">
        <v>6.5329999999999995</v>
      </c>
      <c r="H32" s="246">
        <v>10.579060156130415</v>
      </c>
      <c r="I32" s="258">
        <v>69.120971080999993</v>
      </c>
      <c r="J32" s="265">
        <v>9.3768399999999996</v>
      </c>
      <c r="K32" s="241">
        <v>7.3714568107166158</v>
      </c>
    </row>
    <row r="33" spans="1:11" s="660" customFormat="1" ht="18.600000000000001" customHeight="1">
      <c r="A33" s="671" t="s">
        <v>42</v>
      </c>
      <c r="B33" s="672" t="s">
        <v>101</v>
      </c>
      <c r="C33" s="258">
        <v>164.95499999999998</v>
      </c>
      <c r="D33" s="265">
        <v>10.184999999999999</v>
      </c>
      <c r="E33" s="246">
        <v>16.195876288659793</v>
      </c>
      <c r="F33" s="258">
        <v>187.376</v>
      </c>
      <c r="G33" s="265">
        <v>7.8879999999999999</v>
      </c>
      <c r="H33" s="246">
        <v>23.754563894523326</v>
      </c>
      <c r="I33" s="258">
        <v>167.48714667000002</v>
      </c>
      <c r="J33" s="265">
        <v>8.4168064268187095</v>
      </c>
      <c r="K33" s="241">
        <v>19.899132542282423</v>
      </c>
    </row>
    <row r="34" spans="1:11" s="660" customFormat="1" ht="18.600000000000001" customHeight="1">
      <c r="A34" s="648" t="s">
        <v>294</v>
      </c>
      <c r="B34" s="672" t="s">
        <v>101</v>
      </c>
      <c r="C34" s="258">
        <v>2.0510000000000002</v>
      </c>
      <c r="D34" s="265">
        <v>4.5999999999999999E-2</v>
      </c>
      <c r="E34" s="246">
        <v>44.586956521739133</v>
      </c>
      <c r="F34" s="258">
        <v>0.16</v>
      </c>
      <c r="G34" s="265">
        <v>4.5999999999999999E-2</v>
      </c>
      <c r="H34" s="246">
        <v>3.4782608695652177</v>
      </c>
      <c r="I34" s="258"/>
      <c r="J34" s="265"/>
      <c r="K34" s="241"/>
    </row>
    <row r="35" spans="1:11" s="660" customFormat="1" ht="18.600000000000001" customHeight="1">
      <c r="A35" s="671" t="s">
        <v>43</v>
      </c>
      <c r="B35" s="672" t="s">
        <v>101</v>
      </c>
      <c r="C35" s="258">
        <v>193.262</v>
      </c>
      <c r="D35" s="265">
        <v>5.4580000000000002</v>
      </c>
      <c r="E35" s="246">
        <v>35.40894100403078</v>
      </c>
      <c r="F35" s="258">
        <v>206.09899999999999</v>
      </c>
      <c r="G35" s="265">
        <v>7.1610000000000005</v>
      </c>
      <c r="H35" s="246">
        <v>28.780756877531068</v>
      </c>
      <c r="I35" s="258">
        <v>225.17363547999997</v>
      </c>
      <c r="J35" s="265">
        <v>6.1516601719999997</v>
      </c>
      <c r="K35" s="241">
        <v>36.603718213321358</v>
      </c>
    </row>
    <row r="36" spans="1:11" s="660" customFormat="1" ht="18.600000000000001" customHeight="1">
      <c r="A36" s="671" t="s">
        <v>44</v>
      </c>
      <c r="B36" s="672" t="s">
        <v>101</v>
      </c>
      <c r="C36" s="258">
        <v>0.2</v>
      </c>
      <c r="D36" s="265">
        <v>0.156</v>
      </c>
      <c r="E36" s="246">
        <v>1.2820512820512822</v>
      </c>
      <c r="F36" s="258">
        <v>0.2</v>
      </c>
      <c r="G36" s="265">
        <v>6.8000000000000005E-2</v>
      </c>
      <c r="H36" s="246">
        <v>2.9411764705882351</v>
      </c>
      <c r="I36" s="258">
        <v>0.2</v>
      </c>
      <c r="J36" s="265">
        <v>0.1319524</v>
      </c>
      <c r="K36" s="241">
        <v>1.5156980850670394</v>
      </c>
    </row>
    <row r="37" spans="1:11" s="667" customFormat="1" ht="18.600000000000001" customHeight="1">
      <c r="A37" s="1038" t="s">
        <v>84</v>
      </c>
      <c r="B37" s="1022" t="s">
        <v>101</v>
      </c>
      <c r="C37" s="1036">
        <v>703.20399999999995</v>
      </c>
      <c r="D37" s="1036">
        <v>53.663999999999987</v>
      </c>
      <c r="E37" s="950">
        <v>13.103831246273108</v>
      </c>
      <c r="F37" s="1036">
        <v>773.80600000000004</v>
      </c>
      <c r="G37" s="1036">
        <v>51.61</v>
      </c>
      <c r="H37" s="950">
        <v>14.993334625072661</v>
      </c>
      <c r="I37" s="1036">
        <v>781.05566395200003</v>
      </c>
      <c r="J37" s="1036">
        <v>51.604543458456476</v>
      </c>
      <c r="K37" s="951">
        <v>15.13540497806706</v>
      </c>
    </row>
    <row r="38" spans="1:11" s="667" customFormat="1" ht="18.600000000000001" customHeight="1" thickBot="1">
      <c r="A38" s="1039" t="s">
        <v>45</v>
      </c>
      <c r="B38" s="1040" t="s">
        <v>101</v>
      </c>
      <c r="C38" s="960">
        <v>67.137</v>
      </c>
      <c r="D38" s="960">
        <v>7.915</v>
      </c>
      <c r="E38" s="955">
        <v>5.31</v>
      </c>
      <c r="F38" s="960">
        <v>70.021000000000001</v>
      </c>
      <c r="G38" s="960">
        <v>7.6150000000000002</v>
      </c>
      <c r="H38" s="955">
        <v>5.41</v>
      </c>
      <c r="I38" s="960">
        <v>69.006395966000028</v>
      </c>
      <c r="J38" s="960">
        <v>7.361222999999999</v>
      </c>
      <c r="K38" s="957">
        <v>5.79</v>
      </c>
    </row>
    <row r="39" spans="1:11" ht="13.5" thickTop="1"/>
    <row r="61" spans="1:1">
      <c r="A61" s="673" t="s">
        <v>428</v>
      </c>
    </row>
  </sheetData>
  <mergeCells count="6">
    <mergeCell ref="I2:K2"/>
    <mergeCell ref="A1:K1"/>
    <mergeCell ref="B2:B4"/>
    <mergeCell ref="F2:H2"/>
    <mergeCell ref="C2:E2"/>
    <mergeCell ref="A2:A4"/>
  </mergeCells>
  <phoneticPr fontId="4" type="noConversion"/>
  <printOptions horizontalCentered="1"/>
  <pageMargins left="0.39370078740157483" right="0.39370078740157483" top="0.59055118110236227" bottom="0.59055118110236227" header="0.19685039370078741" footer="0.43307086614173229"/>
  <pageSetup paperSize="9" firstPageNumber="28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00B050"/>
  </sheetPr>
  <dimension ref="A1:I18"/>
  <sheetViews>
    <sheetView showGridLines="0" zoomScaleNormal="100" zoomScaleSheetLayoutView="115" workbookViewId="0">
      <selection activeCell="I45" sqref="I45"/>
    </sheetView>
  </sheetViews>
  <sheetFormatPr defaultColWidth="8.85546875" defaultRowHeight="12.75"/>
  <cols>
    <col min="1" max="1" width="9.7109375" style="172" customWidth="1"/>
    <col min="2" max="3" width="9.7109375" style="171" customWidth="1"/>
    <col min="4" max="4" width="10.28515625" style="171" customWidth="1"/>
    <col min="5" max="5" width="9.7109375" style="171" customWidth="1"/>
    <col min="6" max="6" width="9.85546875" style="171" customWidth="1"/>
    <col min="7" max="7" width="10.28515625" style="171" customWidth="1"/>
    <col min="8" max="8" width="9.85546875" style="173" customWidth="1"/>
    <col min="9" max="9" width="10.7109375" style="173" customWidth="1"/>
    <col min="10" max="23" width="8.85546875" style="171"/>
    <col min="24" max="24" width="9.7109375" style="171" bestFit="1" customWidth="1"/>
    <col min="25" max="16384" width="8.85546875" style="171"/>
  </cols>
  <sheetData>
    <row r="1" spans="1:9" ht="21" customHeight="1">
      <c r="A1" s="1556" t="s">
        <v>496</v>
      </c>
      <c r="B1" s="1557"/>
      <c r="C1" s="1557"/>
      <c r="D1" s="1557"/>
      <c r="E1" s="1557"/>
      <c r="F1" s="1557"/>
      <c r="G1" s="1557"/>
      <c r="H1" s="1557"/>
      <c r="I1" s="1558"/>
    </row>
    <row r="2" spans="1:9" ht="12.6" customHeight="1">
      <c r="A2" s="1559" t="s">
        <v>417</v>
      </c>
      <c r="B2" s="1560"/>
      <c r="C2" s="1560"/>
      <c r="D2" s="1560"/>
      <c r="E2" s="1560"/>
      <c r="F2" s="1560"/>
      <c r="G2" s="1560"/>
      <c r="H2" s="1560"/>
      <c r="I2" s="1561"/>
    </row>
    <row r="3" spans="1:9" s="168" customFormat="1" ht="16.5" customHeight="1">
      <c r="A3" s="1568" t="s">
        <v>0</v>
      </c>
      <c r="B3" s="1563" t="s">
        <v>9</v>
      </c>
      <c r="C3" s="1564"/>
      <c r="D3" s="1565"/>
      <c r="E3" s="1563" t="s">
        <v>1</v>
      </c>
      <c r="F3" s="1564"/>
      <c r="G3" s="1565"/>
      <c r="H3" s="1566" t="s">
        <v>127</v>
      </c>
      <c r="I3" s="1567"/>
    </row>
    <row r="4" spans="1:9" ht="12.75" customHeight="1">
      <c r="A4" s="1569"/>
      <c r="B4" s="1571" t="s">
        <v>24</v>
      </c>
      <c r="C4" s="1571" t="s">
        <v>383</v>
      </c>
      <c r="D4" s="1571" t="s">
        <v>379</v>
      </c>
      <c r="E4" s="1571" t="s">
        <v>24</v>
      </c>
      <c r="F4" s="1571" t="s">
        <v>383</v>
      </c>
      <c r="G4" s="1571" t="s">
        <v>379</v>
      </c>
      <c r="H4" s="1571" t="s">
        <v>24</v>
      </c>
      <c r="I4" s="1562" t="s">
        <v>379</v>
      </c>
    </row>
    <row r="5" spans="1:9">
      <c r="A5" s="1569"/>
      <c r="B5" s="1571"/>
      <c r="C5" s="1571"/>
      <c r="D5" s="1571"/>
      <c r="E5" s="1571"/>
      <c r="F5" s="1571"/>
      <c r="G5" s="1571"/>
      <c r="H5" s="1571"/>
      <c r="I5" s="1562"/>
    </row>
    <row r="6" spans="1:9" ht="29.25" customHeight="1">
      <c r="A6" s="1570"/>
      <c r="B6" s="1571"/>
      <c r="C6" s="1571"/>
      <c r="D6" s="1571"/>
      <c r="E6" s="1571"/>
      <c r="F6" s="1571"/>
      <c r="G6" s="1571"/>
      <c r="H6" s="1571"/>
      <c r="I6" s="1562"/>
    </row>
    <row r="7" spans="1:9" s="168" customFormat="1" ht="16.899999999999999" customHeight="1">
      <c r="A7" s="945" t="s">
        <v>162</v>
      </c>
      <c r="B7" s="946" t="s">
        <v>163</v>
      </c>
      <c r="C7" s="946" t="s">
        <v>164</v>
      </c>
      <c r="D7" s="946" t="s">
        <v>165</v>
      </c>
      <c r="E7" s="946" t="s">
        <v>166</v>
      </c>
      <c r="F7" s="946" t="s">
        <v>167</v>
      </c>
      <c r="G7" s="946" t="s">
        <v>168</v>
      </c>
      <c r="H7" s="946" t="s">
        <v>169</v>
      </c>
      <c r="I7" s="947" t="s">
        <v>170</v>
      </c>
    </row>
    <row r="8" spans="1:9" s="168" customFormat="1" ht="18" customHeight="1">
      <c r="A8" s="1130" t="s">
        <v>293</v>
      </c>
      <c r="B8" s="586">
        <v>639.23</v>
      </c>
      <c r="C8" s="257">
        <v>93.58164293075987</v>
      </c>
      <c r="D8" s="774">
        <v>4.9330328195817723E-2</v>
      </c>
      <c r="E8" s="586">
        <v>43.841999999999999</v>
      </c>
      <c r="F8" s="251">
        <v>6.4183570692401304</v>
      </c>
      <c r="G8" s="773">
        <v>-9.1733996270975851E-2</v>
      </c>
      <c r="H8" s="685">
        <v>683.072</v>
      </c>
      <c r="I8" s="1268">
        <v>3.8973365234413693E-2</v>
      </c>
    </row>
    <row r="9" spans="1:9" s="168" customFormat="1" ht="18" customHeight="1">
      <c r="A9" s="772" t="s">
        <v>301</v>
      </c>
      <c r="B9" s="586">
        <v>657.86799999999994</v>
      </c>
      <c r="C9" s="257">
        <f t="shared" ref="C9:C15" si="0">100*(B9/H9)</f>
        <v>93.567041863296438</v>
      </c>
      <c r="D9" s="774">
        <f t="shared" ref="D9:D17" si="1">(B9-B8)/B8</f>
        <v>2.9156954460835566E-2</v>
      </c>
      <c r="E9" s="586">
        <v>45.230000000000004</v>
      </c>
      <c r="F9" s="251">
        <f t="shared" ref="F9:F15" si="2">100-C9</f>
        <v>6.4329581367035615</v>
      </c>
      <c r="G9" s="773">
        <v>3.1659139637790365E-2</v>
      </c>
      <c r="H9" s="685">
        <f t="shared" ref="H9:H17" si="3">E9+B9</f>
        <v>703.09799999999996</v>
      </c>
      <c r="I9" s="1268">
        <v>2.9317553640026167E-2</v>
      </c>
    </row>
    <row r="10" spans="1:9" s="168" customFormat="1" ht="18" customHeight="1">
      <c r="A10" s="1130" t="s">
        <v>309</v>
      </c>
      <c r="B10" s="586">
        <v>675.4</v>
      </c>
      <c r="C10" s="257">
        <f t="shared" si="0"/>
        <v>93.540005872218316</v>
      </c>
      <c r="D10" s="774">
        <f t="shared" si="1"/>
        <v>2.6649723044744601E-2</v>
      </c>
      <c r="E10" s="586">
        <v>46.643999999999998</v>
      </c>
      <c r="F10" s="251">
        <f t="shared" si="2"/>
        <v>6.4599941277816839</v>
      </c>
      <c r="G10" s="773">
        <f t="shared" ref="G10:G17" si="4">(E10-E9)/E9</f>
        <v>3.1262436435993683E-2</v>
      </c>
      <c r="H10" s="685">
        <f t="shared" si="3"/>
        <v>722.04399999999998</v>
      </c>
      <c r="I10" s="1268">
        <f t="shared" ref="I10:I17" si="5">(H10-H9)/H9</f>
        <v>2.6946456966169763E-2</v>
      </c>
    </row>
    <row r="11" spans="1:9" s="168" customFormat="1" ht="18" customHeight="1">
      <c r="A11" s="772" t="s">
        <v>319</v>
      </c>
      <c r="B11" s="586">
        <v>728.71800000000007</v>
      </c>
      <c r="C11" s="257">
        <f t="shared" si="0"/>
        <v>94.27128813546166</v>
      </c>
      <c r="D11" s="774">
        <f t="shared" si="1"/>
        <v>7.8942848682262506E-2</v>
      </c>
      <c r="E11" s="586">
        <v>44.283000000000001</v>
      </c>
      <c r="F11" s="251">
        <f t="shared" si="2"/>
        <v>5.7287118645383401</v>
      </c>
      <c r="G11" s="773">
        <f t="shared" si="4"/>
        <v>-5.0617442757910927E-2</v>
      </c>
      <c r="H11" s="685">
        <f t="shared" si="3"/>
        <v>773.00100000000009</v>
      </c>
      <c r="I11" s="1268">
        <f t="shared" si="5"/>
        <v>7.0573261463290474E-2</v>
      </c>
    </row>
    <row r="12" spans="1:9" s="168" customFormat="1" ht="18" customHeight="1">
      <c r="A12" s="1130" t="s">
        <v>332</v>
      </c>
      <c r="B12" s="586">
        <v>730.87400000000002</v>
      </c>
      <c r="C12" s="257">
        <f t="shared" si="0"/>
        <v>94.553993039833372</v>
      </c>
      <c r="D12" s="774">
        <f t="shared" si="1"/>
        <v>2.9586204814481716E-3</v>
      </c>
      <c r="E12" s="586">
        <v>42.095999999999989</v>
      </c>
      <c r="F12" s="251">
        <f t="shared" si="2"/>
        <v>5.4460069601666277</v>
      </c>
      <c r="G12" s="773">
        <f t="shared" si="4"/>
        <v>-4.938689790664616E-2</v>
      </c>
      <c r="H12" s="685">
        <f t="shared" si="3"/>
        <v>772.97</v>
      </c>
      <c r="I12" s="1268">
        <f t="shared" si="5"/>
        <v>-4.010344100468531E-5</v>
      </c>
    </row>
    <row r="13" spans="1:9" s="168" customFormat="1" ht="18" customHeight="1">
      <c r="A13" s="1130" t="s">
        <v>345</v>
      </c>
      <c r="B13" s="586">
        <v>716.08300000000008</v>
      </c>
      <c r="C13" s="257">
        <f t="shared" si="0"/>
        <v>94.973991283565312</v>
      </c>
      <c r="D13" s="774">
        <f t="shared" si="1"/>
        <v>-2.0237414383327275E-2</v>
      </c>
      <c r="E13" s="586">
        <v>37.895000000000003</v>
      </c>
      <c r="F13" s="251">
        <f t="shared" si="2"/>
        <v>5.0260087164346885</v>
      </c>
      <c r="G13" s="773">
        <f t="shared" si="4"/>
        <v>-9.979570505511183E-2</v>
      </c>
      <c r="H13" s="685">
        <f t="shared" si="3"/>
        <v>753.97800000000007</v>
      </c>
      <c r="I13" s="1268">
        <f t="shared" si="5"/>
        <v>-2.4570164430702306E-2</v>
      </c>
    </row>
    <row r="14" spans="1:9" s="168" customFormat="1" ht="18" customHeight="1">
      <c r="A14" s="1130" t="s">
        <v>418</v>
      </c>
      <c r="B14" s="586">
        <v>778.21040227532399</v>
      </c>
      <c r="C14" s="257">
        <f t="shared" si="0"/>
        <v>94.248258965426956</v>
      </c>
      <c r="D14" s="774">
        <f t="shared" si="1"/>
        <v>8.6760057528699738E-2</v>
      </c>
      <c r="E14" s="586">
        <v>47.492280000000001</v>
      </c>
      <c r="F14" s="251">
        <f t="shared" si="2"/>
        <v>5.751741034573044</v>
      </c>
      <c r="G14" s="773">
        <f t="shared" si="4"/>
        <v>0.25325979680696653</v>
      </c>
      <c r="H14" s="685">
        <f t="shared" si="3"/>
        <v>825.70268227532404</v>
      </c>
      <c r="I14" s="1268">
        <f t="shared" si="5"/>
        <v>9.5128348937666571E-2</v>
      </c>
    </row>
    <row r="15" spans="1:9" s="168" customFormat="1" ht="18" customHeight="1">
      <c r="A15" s="1130" t="s">
        <v>431</v>
      </c>
      <c r="B15" s="586">
        <v>893.19100000000003</v>
      </c>
      <c r="C15" s="257">
        <f t="shared" si="0"/>
        <v>95.302170248180801</v>
      </c>
      <c r="D15" s="774">
        <f t="shared" si="1"/>
        <v>0.14775001386321346</v>
      </c>
      <c r="E15" s="586">
        <v>44.029000000000003</v>
      </c>
      <c r="F15" s="251">
        <f t="shared" si="2"/>
        <v>4.6978297518191994</v>
      </c>
      <c r="G15" s="773">
        <f t="shared" si="4"/>
        <v>-7.292300980285632E-2</v>
      </c>
      <c r="H15" s="685">
        <f t="shared" si="3"/>
        <v>937.22</v>
      </c>
      <c r="I15" s="1268">
        <f t="shared" si="5"/>
        <v>0.13505747300877899</v>
      </c>
    </row>
    <row r="16" spans="1:9" s="168" customFormat="1" ht="18" customHeight="1">
      <c r="A16" s="1130" t="s">
        <v>504</v>
      </c>
      <c r="B16" s="1422">
        <v>997.82600000000002</v>
      </c>
      <c r="C16" s="589">
        <v>95.875942952513896</v>
      </c>
      <c r="D16" s="774">
        <f t="shared" si="1"/>
        <v>0.11714739624559584</v>
      </c>
      <c r="E16" s="1422">
        <v>42.920999999999999</v>
      </c>
      <c r="F16" s="253">
        <v>4.1240570474860796</v>
      </c>
      <c r="G16" s="773">
        <f t="shared" si="4"/>
        <v>-2.5165232006177839E-2</v>
      </c>
      <c r="H16" s="685">
        <f t="shared" si="3"/>
        <v>1040.7470000000001</v>
      </c>
      <c r="I16" s="1268">
        <f t="shared" si="5"/>
        <v>0.1104617912549882</v>
      </c>
    </row>
    <row r="17" spans="1:9" s="168" customFormat="1" ht="18" customHeight="1" thickBot="1">
      <c r="A17" s="1261" t="s">
        <v>538</v>
      </c>
      <c r="B17" s="1262">
        <v>1047.522607546</v>
      </c>
      <c r="C17" s="1263">
        <f>100*(B17/H17)</f>
        <v>95.869377572819602</v>
      </c>
      <c r="D17" s="1264">
        <f t="shared" si="1"/>
        <v>4.9804883362429921E-2</v>
      </c>
      <c r="E17" s="1262">
        <v>45.133498154000002</v>
      </c>
      <c r="F17" s="1265">
        <f>100-C17</f>
        <v>4.1306224271803984</v>
      </c>
      <c r="G17" s="1266">
        <f t="shared" si="4"/>
        <v>5.1548150182894208E-2</v>
      </c>
      <c r="H17" s="1267">
        <f t="shared" si="3"/>
        <v>1092.6561057000001</v>
      </c>
      <c r="I17" s="1269">
        <f t="shared" si="5"/>
        <v>4.9876776680595813E-2</v>
      </c>
    </row>
    <row r="18" spans="1:9" ht="13.5" thickTop="1"/>
  </sheetData>
  <mergeCells count="14">
    <mergeCell ref="A1:I1"/>
    <mergeCell ref="A2:I2"/>
    <mergeCell ref="I4:I6"/>
    <mergeCell ref="E3:G3"/>
    <mergeCell ref="B3:D3"/>
    <mergeCell ref="H3:I3"/>
    <mergeCell ref="A3:A6"/>
    <mergeCell ref="H4:H6"/>
    <mergeCell ref="E4:E6"/>
    <mergeCell ref="B4:B6"/>
    <mergeCell ref="C4:C6"/>
    <mergeCell ref="F4:F6"/>
    <mergeCell ref="D4:D6"/>
    <mergeCell ref="G4:G6"/>
  </mergeCells>
  <phoneticPr fontId="4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firstPageNumber="5" orientation="portrait" useFirstPageNumber="1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syncVertical="1" syncRef="A1" transitionEvaluation="1" codeName="Sheet32">
    <tabColor rgb="FF00B050"/>
  </sheetPr>
  <dimension ref="A1:R20"/>
  <sheetViews>
    <sheetView zoomScaleNormal="100" zoomScaleSheetLayoutView="115" workbookViewId="0">
      <selection activeCell="P13" sqref="P13"/>
    </sheetView>
  </sheetViews>
  <sheetFormatPr defaultColWidth="12.140625" defaultRowHeight="12.75"/>
  <cols>
    <col min="1" max="1" width="13.85546875" style="674" customWidth="1"/>
    <col min="2" max="2" width="8" style="674" customWidth="1"/>
    <col min="3" max="3" width="7.140625" style="674" customWidth="1"/>
    <col min="4" max="4" width="8.7109375" style="674" customWidth="1"/>
    <col min="5" max="5" width="8" style="674" customWidth="1"/>
    <col min="6" max="6" width="7.140625" style="674" customWidth="1"/>
    <col min="7" max="7" width="8.7109375" style="674" customWidth="1"/>
    <col min="8" max="8" width="8" style="674" customWidth="1"/>
    <col min="9" max="9" width="7.140625" style="674" customWidth="1"/>
    <col min="10" max="10" width="8.7109375" style="674" customWidth="1"/>
    <col min="11" max="11" width="8" style="674" customWidth="1"/>
    <col min="12" max="12" width="7.140625" style="674" customWidth="1"/>
    <col min="13" max="15" width="8.7109375" style="674" customWidth="1"/>
    <col min="16" max="16" width="14.5703125" style="674" customWidth="1"/>
    <col min="17" max="18" width="8.7109375" style="674" hidden="1" customWidth="1"/>
    <col min="19" max="22" width="7.140625" style="674" bestFit="1" customWidth="1"/>
    <col min="23" max="23" width="9.7109375" style="674" customWidth="1"/>
    <col min="24" max="16384" width="12.140625" style="674"/>
  </cols>
  <sheetData>
    <row r="1" spans="1:13" ht="19.149999999999999" customHeight="1">
      <c r="A1" s="1799" t="s">
        <v>493</v>
      </c>
      <c r="B1" s="1800"/>
      <c r="C1" s="1800"/>
      <c r="D1" s="1800"/>
      <c r="E1" s="1800"/>
      <c r="F1" s="1800"/>
      <c r="G1" s="1800"/>
      <c r="H1" s="1800"/>
      <c r="I1" s="1800"/>
      <c r="J1" s="1800"/>
      <c r="K1" s="1800"/>
      <c r="L1" s="1800"/>
      <c r="M1" s="1801"/>
    </row>
    <row r="2" spans="1:13" s="675" customFormat="1" ht="19.149999999999999" customHeight="1">
      <c r="A2" s="1762" t="s">
        <v>417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4"/>
    </row>
    <row r="3" spans="1:13" s="675" customFormat="1" ht="18.75" customHeight="1">
      <c r="A3" s="1796" t="s">
        <v>318</v>
      </c>
      <c r="B3" s="1802" t="s">
        <v>418</v>
      </c>
      <c r="C3" s="1803"/>
      <c r="D3" s="1804"/>
      <c r="E3" s="1802" t="s">
        <v>431</v>
      </c>
      <c r="F3" s="1803"/>
      <c r="G3" s="1804"/>
      <c r="H3" s="1802" t="s">
        <v>504</v>
      </c>
      <c r="I3" s="1803"/>
      <c r="J3" s="1804"/>
      <c r="K3" s="1802" t="s">
        <v>538</v>
      </c>
      <c r="L3" s="1803"/>
      <c r="M3" s="1805"/>
    </row>
    <row r="4" spans="1:13" s="676" customFormat="1" ht="31.9" customHeight="1">
      <c r="A4" s="1797"/>
      <c r="B4" s="1408" t="s">
        <v>369</v>
      </c>
      <c r="C4" s="1408" t="s">
        <v>370</v>
      </c>
      <c r="D4" s="1408" t="s">
        <v>76</v>
      </c>
      <c r="E4" s="1408" t="s">
        <v>369</v>
      </c>
      <c r="F4" s="1408" t="s">
        <v>370</v>
      </c>
      <c r="G4" s="1408" t="s">
        <v>76</v>
      </c>
      <c r="H4" s="1408" t="s">
        <v>369</v>
      </c>
      <c r="I4" s="1408" t="s">
        <v>370</v>
      </c>
      <c r="J4" s="1408" t="s">
        <v>76</v>
      </c>
      <c r="K4" s="1408" t="s">
        <v>369</v>
      </c>
      <c r="L4" s="1408" t="s">
        <v>370</v>
      </c>
      <c r="M4" s="1412" t="s">
        <v>76</v>
      </c>
    </row>
    <row r="5" spans="1:13" s="760" customFormat="1" ht="18.75" customHeight="1">
      <c r="A5" s="1021" t="s">
        <v>162</v>
      </c>
      <c r="B5" s="1025" t="s">
        <v>163</v>
      </c>
      <c r="C5" s="1026" t="s">
        <v>164</v>
      </c>
      <c r="D5" s="1025" t="s">
        <v>165</v>
      </c>
      <c r="E5" s="1025" t="s">
        <v>163</v>
      </c>
      <c r="F5" s="1026" t="s">
        <v>164</v>
      </c>
      <c r="G5" s="1025" t="s">
        <v>165</v>
      </c>
      <c r="H5" s="1025" t="s">
        <v>166</v>
      </c>
      <c r="I5" s="1026" t="s">
        <v>167</v>
      </c>
      <c r="J5" s="1025" t="s">
        <v>168</v>
      </c>
      <c r="K5" s="1025" t="s">
        <v>169</v>
      </c>
      <c r="L5" s="1026" t="s">
        <v>170</v>
      </c>
      <c r="M5" s="1025" t="s">
        <v>171</v>
      </c>
    </row>
    <row r="6" spans="1:13" s="675" customFormat="1" ht="19.5" customHeight="1">
      <c r="A6" s="677" t="s">
        <v>110</v>
      </c>
      <c r="B6" s="678">
        <v>2.8000000000000001E-2</v>
      </c>
      <c r="C6" s="679">
        <v>0</v>
      </c>
      <c r="D6" s="680">
        <f>B6+C6</f>
        <v>2.8000000000000001E-2</v>
      </c>
      <c r="E6" s="678">
        <v>0.2</v>
      </c>
      <c r="F6" s="679">
        <v>0</v>
      </c>
      <c r="G6" s="680">
        <v>0.2</v>
      </c>
      <c r="H6" s="678">
        <v>0.2</v>
      </c>
      <c r="I6" s="679"/>
      <c r="J6" s="680">
        <v>0.2</v>
      </c>
      <c r="K6" s="1403">
        <v>0.2</v>
      </c>
      <c r="L6" s="679"/>
      <c r="M6" s="1404">
        <v>0.2</v>
      </c>
    </row>
    <row r="7" spans="1:13" s="675" customFormat="1" ht="19.5" customHeight="1">
      <c r="A7" s="677" t="s">
        <v>111</v>
      </c>
      <c r="B7" s="678">
        <v>147.89441200000002</v>
      </c>
      <c r="C7" s="679">
        <v>6.2253100000000003</v>
      </c>
      <c r="D7" s="680">
        <f t="shared" ref="D7:D16" si="0">B7+C7</f>
        <v>154.11972200000002</v>
      </c>
      <c r="E7" s="678">
        <v>178.667</v>
      </c>
      <c r="F7" s="679">
        <v>6.2279999999999998</v>
      </c>
      <c r="G7" s="680">
        <v>184.89500000000001</v>
      </c>
      <c r="H7" s="678">
        <v>200.60400000000001</v>
      </c>
      <c r="I7" s="679">
        <v>6.6509999999999998</v>
      </c>
      <c r="J7" s="680">
        <v>207.25500000000002</v>
      </c>
      <c r="K7" s="1403">
        <v>197.94556219999998</v>
      </c>
      <c r="L7" s="679">
        <v>7.0071200000000005</v>
      </c>
      <c r="M7" s="1404">
        <v>204.95268219999997</v>
      </c>
    </row>
    <row r="8" spans="1:13" s="675" customFormat="1" ht="19.5" customHeight="1">
      <c r="A8" s="677" t="s">
        <v>137</v>
      </c>
      <c r="B8" s="678"/>
      <c r="C8" s="679">
        <v>1.1339999999999999E-2</v>
      </c>
      <c r="D8" s="680">
        <f t="shared" si="0"/>
        <v>1.1339999999999999E-2</v>
      </c>
      <c r="E8" s="678"/>
      <c r="F8" s="679">
        <v>0.01</v>
      </c>
      <c r="G8" s="680">
        <v>0.01</v>
      </c>
      <c r="H8" s="678"/>
      <c r="I8" s="679">
        <v>8.0000000000000002E-3</v>
      </c>
      <c r="J8" s="680">
        <v>8.0000000000000002E-3</v>
      </c>
      <c r="K8" s="1403"/>
      <c r="L8" s="679">
        <v>1.0236E-2</v>
      </c>
      <c r="M8" s="1404">
        <v>1.0236E-2</v>
      </c>
    </row>
    <row r="9" spans="1:13" s="675" customFormat="1" ht="19.5" customHeight="1">
      <c r="A9" s="677" t="s">
        <v>342</v>
      </c>
      <c r="B9" s="678">
        <v>127.530885</v>
      </c>
      <c r="C9" s="679">
        <v>2.5747020000000003</v>
      </c>
      <c r="D9" s="680">
        <f t="shared" si="0"/>
        <v>130.10558699999999</v>
      </c>
      <c r="E9" s="678">
        <v>153.95699999999999</v>
      </c>
      <c r="F9" s="679">
        <v>2.5259999999999998</v>
      </c>
      <c r="G9" s="680">
        <v>156.483</v>
      </c>
      <c r="H9" s="678">
        <v>188.697</v>
      </c>
      <c r="I9" s="679">
        <v>2.4609999999999999</v>
      </c>
      <c r="J9" s="680">
        <v>191.15800000000002</v>
      </c>
      <c r="K9" s="1403">
        <v>203.53822164600001</v>
      </c>
      <c r="L9" s="679">
        <v>2.6541435719999997</v>
      </c>
      <c r="M9" s="1404">
        <v>206.19236521800002</v>
      </c>
    </row>
    <row r="10" spans="1:13" s="675" customFormat="1" ht="19.5" customHeight="1">
      <c r="A10" s="677" t="s">
        <v>113</v>
      </c>
      <c r="B10" s="678">
        <v>55.235906999999997</v>
      </c>
      <c r="C10" s="679">
        <v>1.2924</v>
      </c>
      <c r="D10" s="680">
        <f t="shared" si="0"/>
        <v>56.528306999999998</v>
      </c>
      <c r="E10" s="678">
        <v>62.529000000000003</v>
      </c>
      <c r="F10" s="679">
        <v>1.091</v>
      </c>
      <c r="G10" s="680">
        <v>63.620000000000005</v>
      </c>
      <c r="H10" s="678">
        <v>68.233000000000004</v>
      </c>
      <c r="I10" s="679">
        <v>1.0489999999999999</v>
      </c>
      <c r="J10" s="680">
        <v>69.282000000000011</v>
      </c>
      <c r="K10" s="1403">
        <v>69.779298926999999</v>
      </c>
      <c r="L10" s="679">
        <v>1.0018358639999998</v>
      </c>
      <c r="M10" s="1404">
        <v>70.781134790999999</v>
      </c>
    </row>
    <row r="11" spans="1:13" s="675" customFormat="1" ht="19.5" customHeight="1">
      <c r="A11" s="677" t="s">
        <v>138</v>
      </c>
      <c r="B11" s="678">
        <v>130.45221899999999</v>
      </c>
      <c r="C11" s="679">
        <v>7.5221330000000002</v>
      </c>
      <c r="D11" s="680">
        <f t="shared" si="0"/>
        <v>137.97435199999998</v>
      </c>
      <c r="E11" s="678">
        <v>137.41499999999999</v>
      </c>
      <c r="F11" s="679">
        <v>8.6140000000000008</v>
      </c>
      <c r="G11" s="680">
        <v>146.029</v>
      </c>
      <c r="H11" s="678">
        <v>150.36799999999999</v>
      </c>
      <c r="I11" s="679">
        <v>8.86</v>
      </c>
      <c r="J11" s="680">
        <v>159.22800000000001</v>
      </c>
      <c r="K11" s="1403">
        <v>159.89528688999999</v>
      </c>
      <c r="L11" s="679">
        <v>7.6758010000000008</v>
      </c>
      <c r="M11" s="1404">
        <v>167.57108789</v>
      </c>
    </row>
    <row r="12" spans="1:13" s="675" customFormat="1" ht="19.5" customHeight="1">
      <c r="A12" s="677" t="s">
        <v>265</v>
      </c>
      <c r="B12" s="678">
        <v>184.56798499999999</v>
      </c>
      <c r="C12" s="679">
        <v>0.5</v>
      </c>
      <c r="D12" s="680">
        <f t="shared" si="0"/>
        <v>185.06798499999999</v>
      </c>
      <c r="E12" s="678">
        <v>218.54</v>
      </c>
      <c r="F12" s="679">
        <v>0.441</v>
      </c>
      <c r="G12" s="680">
        <v>218.98099999999999</v>
      </c>
      <c r="H12" s="678">
        <v>238.946</v>
      </c>
      <c r="I12" s="679">
        <v>0.45600000000000002</v>
      </c>
      <c r="J12" s="680">
        <v>239.40199999999999</v>
      </c>
      <c r="K12" s="1403">
        <v>268.88444255299993</v>
      </c>
      <c r="L12" s="679">
        <v>0.47902099999999997</v>
      </c>
      <c r="M12" s="1404">
        <v>269.36346355299992</v>
      </c>
    </row>
    <row r="13" spans="1:13" s="675" customFormat="1" ht="19.5" customHeight="1">
      <c r="A13" s="677" t="s">
        <v>284</v>
      </c>
      <c r="B13" s="678">
        <v>60.974779999999996</v>
      </c>
      <c r="C13" s="679">
        <v>6.2573999999999996</v>
      </c>
      <c r="D13" s="680">
        <f t="shared" si="0"/>
        <v>67.23218</v>
      </c>
      <c r="E13" s="678">
        <v>62.438000000000002</v>
      </c>
      <c r="F13" s="679">
        <v>7.1989999999999998</v>
      </c>
      <c r="G13" s="680">
        <v>69.637</v>
      </c>
      <c r="H13" s="678">
        <v>66.59</v>
      </c>
      <c r="I13" s="679">
        <v>5.931</v>
      </c>
      <c r="J13" s="680">
        <v>72.521000000000001</v>
      </c>
      <c r="K13" s="1403">
        <v>66.699395965999997</v>
      </c>
      <c r="L13" s="679">
        <v>4.8070000000000004</v>
      </c>
      <c r="M13" s="1404">
        <v>71.506395965999999</v>
      </c>
    </row>
    <row r="14" spans="1:13" s="675" customFormat="1" ht="19.5" customHeight="1">
      <c r="A14" s="677" t="s">
        <v>139</v>
      </c>
      <c r="B14" s="678">
        <v>18.073412999999999</v>
      </c>
      <c r="C14" s="679">
        <v>0</v>
      </c>
      <c r="D14" s="680">
        <f t="shared" si="0"/>
        <v>18.073412999999999</v>
      </c>
      <c r="E14" s="678">
        <v>20.54</v>
      </c>
      <c r="F14" s="679">
        <v>0</v>
      </c>
      <c r="G14" s="680">
        <v>20.54</v>
      </c>
      <c r="H14" s="678">
        <v>21.51</v>
      </c>
      <c r="I14" s="679"/>
      <c r="J14" s="680">
        <v>21.51</v>
      </c>
      <c r="K14" s="1403">
        <v>20.856285889999999</v>
      </c>
      <c r="L14" s="679"/>
      <c r="M14" s="1404">
        <v>20.856285889999999</v>
      </c>
    </row>
    <row r="15" spans="1:13" s="675" customFormat="1" ht="19.5" customHeight="1">
      <c r="A15" s="681" t="s">
        <v>140</v>
      </c>
      <c r="B15" s="682">
        <v>20.269471000000003</v>
      </c>
      <c r="C15" s="683">
        <v>8.7993389999999998</v>
      </c>
      <c r="D15" s="684">
        <f t="shared" si="0"/>
        <v>29.068810000000003</v>
      </c>
      <c r="E15" s="682">
        <v>24.056999999999999</v>
      </c>
      <c r="F15" s="683">
        <v>8.7390000000000008</v>
      </c>
      <c r="G15" s="684">
        <v>32.795999999999999</v>
      </c>
      <c r="H15" s="682">
        <v>28.347000000000001</v>
      </c>
      <c r="I15" s="683">
        <v>8.9149999999999991</v>
      </c>
      <c r="J15" s="684">
        <v>37.262</v>
      </c>
      <c r="K15" s="1405">
        <v>27.866263709999995</v>
      </c>
      <c r="L15" s="683">
        <v>8.2226923280000008</v>
      </c>
      <c r="M15" s="1404">
        <v>36.088956037999992</v>
      </c>
    </row>
    <row r="16" spans="1:13" s="675" customFormat="1" ht="19.5" customHeight="1" thickBot="1">
      <c r="A16" s="1028" t="s">
        <v>141</v>
      </c>
      <c r="B16" s="1029">
        <f t="shared" ref="B16:C16" si="1">SUM(B6:B15)</f>
        <v>745.02707199999998</v>
      </c>
      <c r="C16" s="1029">
        <f t="shared" si="1"/>
        <v>33.182624000000004</v>
      </c>
      <c r="D16" s="1029">
        <f t="shared" si="0"/>
        <v>778.20969600000001</v>
      </c>
      <c r="E16" s="1029">
        <v>858.34299999999985</v>
      </c>
      <c r="F16" s="1029">
        <v>34.847999999999999</v>
      </c>
      <c r="G16" s="1029">
        <v>893.1909999999998</v>
      </c>
      <c r="H16" s="1029">
        <v>963.495</v>
      </c>
      <c r="I16" s="1029">
        <v>34.330999999999996</v>
      </c>
      <c r="J16" s="1029">
        <v>997.82600000000002</v>
      </c>
      <c r="K16" s="1406">
        <v>1015.6647577819999</v>
      </c>
      <c r="L16" s="1406">
        <v>31.857849764000001</v>
      </c>
      <c r="M16" s="1407">
        <v>1047.522607546</v>
      </c>
    </row>
    <row r="17" spans="1:1" ht="13.5" thickTop="1"/>
    <row r="19" spans="1:1">
      <c r="A19" s="761"/>
    </row>
    <row r="20" spans="1:1">
      <c r="A20" s="674" t="s">
        <v>428</v>
      </c>
    </row>
  </sheetData>
  <sortState ref="P18:U27">
    <sortCondition descending="1" ref="U18:U27"/>
  </sortState>
  <mergeCells count="7">
    <mergeCell ref="A1:M1"/>
    <mergeCell ref="A2:M2"/>
    <mergeCell ref="A3:A4"/>
    <mergeCell ref="E3:G3"/>
    <mergeCell ref="H3:J3"/>
    <mergeCell ref="B3:D3"/>
    <mergeCell ref="K3:M3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29" pageOrder="overThenDown" orientation="portrait" useFirstPageNumber="1" r:id="rId1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>
    <tabColor rgb="FF00B050"/>
  </sheetPr>
  <dimension ref="A1:N84"/>
  <sheetViews>
    <sheetView zoomScaleNormal="100" zoomScaleSheetLayoutView="130" workbookViewId="0">
      <pane xSplit="5" ySplit="5" topLeftCell="F6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T24" sqref="T24"/>
    </sheetView>
  </sheetViews>
  <sheetFormatPr defaultColWidth="9.140625" defaultRowHeight="12.75"/>
  <cols>
    <col min="1" max="1" width="19.7109375" style="176" customWidth="1"/>
    <col min="2" max="2" width="7.140625" style="867" customWidth="1"/>
    <col min="3" max="3" width="7.5703125" style="867" customWidth="1"/>
    <col min="4" max="4" width="8.140625" style="176" bestFit="1" customWidth="1"/>
    <col min="5" max="5" width="10.7109375" style="175" customWidth="1"/>
    <col min="6" max="6" width="6.42578125" style="868" bestFit="1" customWidth="1"/>
    <col min="7" max="7" width="6.5703125" style="868" bestFit="1" customWidth="1"/>
    <col min="8" max="8" width="6.5703125" style="868" customWidth="1"/>
    <col min="9" max="9" width="6.42578125" style="868" bestFit="1" customWidth="1"/>
    <col min="10" max="10" width="6.5703125" style="868" bestFit="1" customWidth="1"/>
    <col min="11" max="11" width="6.5703125" style="868" customWidth="1"/>
    <col min="12" max="12" width="6.42578125" style="868" bestFit="1" customWidth="1"/>
    <col min="13" max="13" width="6.5703125" style="868" bestFit="1" customWidth="1"/>
    <col min="14" max="14" width="6.5703125" style="868" customWidth="1"/>
    <col min="15" max="15" width="5.28515625" style="176" customWidth="1"/>
    <col min="16" max="16384" width="9.140625" style="176"/>
  </cols>
  <sheetData>
    <row r="1" spans="1:14" ht="19.5" customHeight="1">
      <c r="A1" s="1831" t="s">
        <v>494</v>
      </c>
      <c r="B1" s="1832"/>
      <c r="C1" s="1832"/>
      <c r="D1" s="1832"/>
      <c r="E1" s="1832"/>
      <c r="F1" s="1832"/>
      <c r="G1" s="1832"/>
      <c r="H1" s="1832"/>
      <c r="I1" s="1832"/>
      <c r="J1" s="1832"/>
      <c r="K1" s="1832"/>
      <c r="L1" s="1832"/>
      <c r="M1" s="1832"/>
      <c r="N1" s="1833"/>
    </row>
    <row r="2" spans="1:14" ht="14.25" customHeight="1">
      <c r="A2" s="1834" t="s">
        <v>417</v>
      </c>
      <c r="B2" s="1835"/>
      <c r="C2" s="1835"/>
      <c r="D2" s="1835"/>
      <c r="E2" s="1835"/>
      <c r="F2" s="1835"/>
      <c r="G2" s="1835"/>
      <c r="H2" s="1835"/>
      <c r="I2" s="1835"/>
      <c r="J2" s="1835"/>
      <c r="K2" s="1835"/>
      <c r="L2" s="1835"/>
      <c r="M2" s="1835"/>
      <c r="N2" s="1836"/>
    </row>
    <row r="3" spans="1:14" s="160" customFormat="1" ht="18.75" customHeight="1">
      <c r="A3" s="1837" t="s">
        <v>268</v>
      </c>
      <c r="B3" s="1839" t="s">
        <v>455</v>
      </c>
      <c r="C3" s="1841" t="s">
        <v>456</v>
      </c>
      <c r="D3" s="1841" t="s">
        <v>79</v>
      </c>
      <c r="E3" s="1841" t="s">
        <v>160</v>
      </c>
      <c r="F3" s="1822" t="s">
        <v>431</v>
      </c>
      <c r="G3" s="1823"/>
      <c r="H3" s="1824"/>
      <c r="I3" s="1822" t="s">
        <v>504</v>
      </c>
      <c r="J3" s="1823"/>
      <c r="K3" s="1824"/>
      <c r="L3" s="1822" t="s">
        <v>538</v>
      </c>
      <c r="M3" s="1823"/>
      <c r="N3" s="1824"/>
    </row>
    <row r="4" spans="1:14" s="178" customFormat="1" ht="42.75" customHeight="1">
      <c r="A4" s="1838"/>
      <c r="B4" s="1840"/>
      <c r="C4" s="1842"/>
      <c r="D4" s="1842"/>
      <c r="E4" s="1842"/>
      <c r="F4" s="1219" t="s">
        <v>314</v>
      </c>
      <c r="G4" s="1219" t="s">
        <v>384</v>
      </c>
      <c r="H4" s="1219" t="s">
        <v>149</v>
      </c>
      <c r="I4" s="1219" t="s">
        <v>314</v>
      </c>
      <c r="J4" s="1219" t="s">
        <v>384</v>
      </c>
      <c r="K4" s="1219" t="s">
        <v>149</v>
      </c>
      <c r="L4" s="1219" t="s">
        <v>314</v>
      </c>
      <c r="M4" s="1219" t="s">
        <v>384</v>
      </c>
      <c r="N4" s="1219" t="s">
        <v>149</v>
      </c>
    </row>
    <row r="5" spans="1:14" s="178" customFormat="1" ht="18" customHeight="1">
      <c r="A5" s="1004" t="s">
        <v>162</v>
      </c>
      <c r="B5" s="1005" t="s">
        <v>163</v>
      </c>
      <c r="C5" s="1005" t="s">
        <v>164</v>
      </c>
      <c r="D5" s="1005" t="s">
        <v>165</v>
      </c>
      <c r="E5" s="1005" t="s">
        <v>166</v>
      </c>
      <c r="F5" s="1006" t="s">
        <v>167</v>
      </c>
      <c r="G5" s="1006" t="s">
        <v>168</v>
      </c>
      <c r="H5" s="1006" t="s">
        <v>169</v>
      </c>
      <c r="I5" s="1006" t="s">
        <v>170</v>
      </c>
      <c r="J5" s="1006" t="s">
        <v>171</v>
      </c>
      <c r="K5" s="1006" t="s">
        <v>172</v>
      </c>
      <c r="L5" s="1006" t="s">
        <v>173</v>
      </c>
      <c r="M5" s="1006" t="s">
        <v>174</v>
      </c>
      <c r="N5" s="1006" t="s">
        <v>175</v>
      </c>
    </row>
    <row r="6" spans="1:14" s="160" customFormat="1" ht="14.25" customHeight="1">
      <c r="A6" s="300" t="s">
        <v>459</v>
      </c>
      <c r="B6" s="1829"/>
      <c r="C6" s="1814"/>
      <c r="D6" s="186" t="s">
        <v>263</v>
      </c>
      <c r="E6" s="1819" t="s">
        <v>111</v>
      </c>
      <c r="F6" s="182"/>
      <c r="G6" s="183">
        <v>11.801</v>
      </c>
      <c r="H6" s="184">
        <v>11.801</v>
      </c>
      <c r="I6" s="182"/>
      <c r="J6" s="183">
        <v>6.7009999999999996</v>
      </c>
      <c r="K6" s="184">
        <v>6.7009999999999996</v>
      </c>
      <c r="L6" s="185"/>
      <c r="M6" s="183">
        <v>16.0385043</v>
      </c>
      <c r="N6" s="354">
        <v>16.0385043</v>
      </c>
    </row>
    <row r="7" spans="1:14" s="160" customFormat="1" ht="14.25" customHeight="1">
      <c r="A7" s="300" t="s">
        <v>550</v>
      </c>
      <c r="B7" s="1829"/>
      <c r="C7" s="1814"/>
      <c r="D7" s="186" t="s">
        <v>263</v>
      </c>
      <c r="E7" s="1820"/>
      <c r="F7" s="182"/>
      <c r="G7" s="183"/>
      <c r="H7" s="184"/>
      <c r="I7" s="182"/>
      <c r="J7" s="183"/>
      <c r="K7" s="184"/>
      <c r="L7" s="185"/>
      <c r="M7" s="183">
        <v>0.28486349999999999</v>
      </c>
      <c r="N7" s="354">
        <v>0.28486349999999999</v>
      </c>
    </row>
    <row r="8" spans="1:14" s="160" customFormat="1" ht="14.25" customHeight="1">
      <c r="A8" s="821" t="s">
        <v>344</v>
      </c>
      <c r="B8" s="1829"/>
      <c r="C8" s="1814"/>
      <c r="D8" s="186" t="s">
        <v>304</v>
      </c>
      <c r="E8" s="1820"/>
      <c r="F8" s="182"/>
      <c r="G8" s="183">
        <v>2.4020000000000001</v>
      </c>
      <c r="H8" s="184">
        <v>2.4020000000000001</v>
      </c>
      <c r="I8" s="182"/>
      <c r="J8" s="183">
        <v>7.5430000000000001</v>
      </c>
      <c r="K8" s="184">
        <v>7.5430000000000001</v>
      </c>
      <c r="L8" s="185"/>
      <c r="M8" s="183">
        <v>11.03201048</v>
      </c>
      <c r="N8" s="354">
        <v>11.03201048</v>
      </c>
    </row>
    <row r="9" spans="1:14" s="160" customFormat="1" ht="14.25" customHeight="1">
      <c r="A9" s="823" t="s">
        <v>460</v>
      </c>
      <c r="B9" s="1830"/>
      <c r="C9" s="1814"/>
      <c r="D9" s="824" t="s">
        <v>335</v>
      </c>
      <c r="E9" s="1821"/>
      <c r="F9" s="826"/>
      <c r="G9" s="827">
        <v>3.617</v>
      </c>
      <c r="H9" s="828">
        <v>3.617</v>
      </c>
      <c r="I9" s="826"/>
      <c r="J9" s="827">
        <v>4.0030000000000001</v>
      </c>
      <c r="K9" s="828">
        <v>4.0030000000000001</v>
      </c>
      <c r="L9" s="185"/>
      <c r="M9" s="183">
        <v>4.0000010000000001</v>
      </c>
      <c r="N9" s="354">
        <v>4.0000010000000001</v>
      </c>
    </row>
    <row r="10" spans="1:14" s="160" customFormat="1" ht="14.25" customHeight="1">
      <c r="A10" s="829" t="s">
        <v>306</v>
      </c>
      <c r="B10" s="830" t="s">
        <v>461</v>
      </c>
      <c r="C10" s="1814"/>
      <c r="D10" s="840" t="s">
        <v>304</v>
      </c>
      <c r="E10" s="1808" t="s">
        <v>112</v>
      </c>
      <c r="F10" s="347"/>
      <c r="G10" s="832">
        <v>13.225</v>
      </c>
      <c r="H10" s="188">
        <v>13.225</v>
      </c>
      <c r="I10" s="347"/>
      <c r="J10" s="832">
        <v>16.308</v>
      </c>
      <c r="K10" s="188">
        <v>16.308</v>
      </c>
      <c r="L10" s="185"/>
      <c r="M10" s="183">
        <v>17.387225165</v>
      </c>
      <c r="N10" s="354">
        <v>17.387225165</v>
      </c>
    </row>
    <row r="11" spans="1:14" s="160" customFormat="1" ht="14.25" customHeight="1">
      <c r="A11" s="821" t="s">
        <v>462</v>
      </c>
      <c r="B11" s="833"/>
      <c r="C11" s="1814"/>
      <c r="D11" s="831" t="s">
        <v>46</v>
      </c>
      <c r="E11" s="1809"/>
      <c r="F11" s="347"/>
      <c r="G11" s="832">
        <v>3.3000000000000002E-2</v>
      </c>
      <c r="H11" s="188">
        <v>3.3000000000000002E-2</v>
      </c>
      <c r="I11" s="347"/>
      <c r="J11" s="832">
        <v>1.52</v>
      </c>
      <c r="K11" s="188">
        <v>1.52</v>
      </c>
      <c r="L11" s="185"/>
      <c r="M11" s="183">
        <v>4.01</v>
      </c>
      <c r="N11" s="354">
        <v>4.01</v>
      </c>
    </row>
    <row r="12" spans="1:14" s="160" customFormat="1" ht="14.25" customHeight="1">
      <c r="A12" s="835" t="s">
        <v>463</v>
      </c>
      <c r="B12" s="1818" t="s">
        <v>457</v>
      </c>
      <c r="C12" s="1814"/>
      <c r="D12" s="186" t="s">
        <v>304</v>
      </c>
      <c r="E12" s="1809"/>
      <c r="F12" s="182"/>
      <c r="G12" s="183">
        <v>0.57599999999999996</v>
      </c>
      <c r="H12" s="184">
        <v>0.57599999999999996</v>
      </c>
      <c r="I12" s="182"/>
      <c r="J12" s="183">
        <v>3.3039999999999998</v>
      </c>
      <c r="K12" s="184">
        <v>3.3039999999999998</v>
      </c>
      <c r="L12" s="185"/>
      <c r="M12" s="183">
        <v>4.5762115000000003</v>
      </c>
      <c r="N12" s="354">
        <v>4.5762115000000003</v>
      </c>
    </row>
    <row r="13" spans="1:14" s="160" customFormat="1" ht="14.25" customHeight="1">
      <c r="A13" s="835" t="s">
        <v>526</v>
      </c>
      <c r="B13" s="1818"/>
      <c r="C13" s="1814"/>
      <c r="D13" s="186" t="s">
        <v>304</v>
      </c>
      <c r="E13" s="1809"/>
      <c r="F13" s="182"/>
      <c r="G13" s="183"/>
      <c r="H13" s="184"/>
      <c r="I13" s="182"/>
      <c r="J13" s="183">
        <v>0.23499999999999999</v>
      </c>
      <c r="K13" s="184">
        <v>0.23499999999999999</v>
      </c>
      <c r="L13" s="185"/>
      <c r="M13" s="183">
        <v>2.0385239999999998</v>
      </c>
      <c r="N13" s="354">
        <v>2.0385239999999998</v>
      </c>
    </row>
    <row r="14" spans="1:14" s="160" customFormat="1" ht="14.25" customHeight="1">
      <c r="A14" s="821" t="s">
        <v>464</v>
      </c>
      <c r="B14" s="1818"/>
      <c r="C14" s="1814"/>
      <c r="D14" s="186" t="s">
        <v>465</v>
      </c>
      <c r="E14" s="1809"/>
      <c r="F14" s="182"/>
      <c r="G14" s="183">
        <v>0.50700000000000001</v>
      </c>
      <c r="H14" s="184">
        <v>0.50700000000000001</v>
      </c>
      <c r="I14" s="182"/>
      <c r="J14" s="183">
        <v>4.6280000000000001</v>
      </c>
      <c r="K14" s="184">
        <v>4.6280000000000001</v>
      </c>
      <c r="L14" s="185"/>
      <c r="M14" s="183">
        <v>7</v>
      </c>
      <c r="N14" s="354">
        <v>7</v>
      </c>
    </row>
    <row r="15" spans="1:14" s="160" customFormat="1" ht="14.25" customHeight="1">
      <c r="A15" s="300" t="s">
        <v>343</v>
      </c>
      <c r="B15" s="1818"/>
      <c r="C15" s="1814"/>
      <c r="D15" s="824" t="s">
        <v>220</v>
      </c>
      <c r="E15" s="1810"/>
      <c r="F15" s="826"/>
      <c r="G15" s="827">
        <v>15</v>
      </c>
      <c r="H15" s="828">
        <v>15</v>
      </c>
      <c r="I15" s="826"/>
      <c r="J15" s="827">
        <v>13.707000000000001</v>
      </c>
      <c r="K15" s="828">
        <v>13.707000000000001</v>
      </c>
      <c r="L15" s="185"/>
      <c r="M15" s="183">
        <v>14.999908</v>
      </c>
      <c r="N15" s="354">
        <v>14.999908</v>
      </c>
    </row>
    <row r="16" spans="1:14" s="160" customFormat="1" ht="25.5">
      <c r="A16" s="300" t="s">
        <v>466</v>
      </c>
      <c r="B16" s="1818"/>
      <c r="C16" s="1814"/>
      <c r="D16" s="836" t="s">
        <v>467</v>
      </c>
      <c r="E16" s="822" t="s">
        <v>138</v>
      </c>
      <c r="F16" s="837"/>
      <c r="G16" s="838">
        <v>0.311</v>
      </c>
      <c r="H16" s="839">
        <v>0.311</v>
      </c>
      <c r="I16" s="837"/>
      <c r="J16" s="838">
        <v>1.2509999999999999</v>
      </c>
      <c r="K16" s="839">
        <v>1.2509999999999999</v>
      </c>
      <c r="L16" s="185"/>
      <c r="M16" s="183">
        <v>3.801301</v>
      </c>
      <c r="N16" s="354">
        <v>3.801301</v>
      </c>
    </row>
    <row r="17" spans="1:14" s="160" customFormat="1" ht="25.5">
      <c r="A17" s="301" t="s">
        <v>423</v>
      </c>
      <c r="B17" s="1818"/>
      <c r="C17" s="1814"/>
      <c r="D17" s="840" t="s">
        <v>419</v>
      </c>
      <c r="E17" s="841" t="s">
        <v>113</v>
      </c>
      <c r="F17" s="842"/>
      <c r="G17" s="843">
        <v>1.6080000000000001</v>
      </c>
      <c r="H17" s="844">
        <v>1.6080000000000001</v>
      </c>
      <c r="I17" s="842"/>
      <c r="J17" s="843">
        <v>2.5</v>
      </c>
      <c r="K17" s="844">
        <v>2.5</v>
      </c>
      <c r="L17" s="185"/>
      <c r="M17" s="183">
        <v>3.5</v>
      </c>
      <c r="N17" s="354">
        <v>3.5</v>
      </c>
    </row>
    <row r="18" spans="1:14" s="160" customFormat="1" ht="14.25" customHeight="1">
      <c r="A18" s="845" t="s">
        <v>327</v>
      </c>
      <c r="B18" s="1818"/>
      <c r="C18" s="1814"/>
      <c r="D18" s="836" t="s">
        <v>304</v>
      </c>
      <c r="E18" s="1808" t="s">
        <v>265</v>
      </c>
      <c r="F18" s="347"/>
      <c r="G18" s="832">
        <v>7</v>
      </c>
      <c r="H18" s="188">
        <v>7</v>
      </c>
      <c r="I18" s="347"/>
      <c r="J18" s="832">
        <v>7</v>
      </c>
      <c r="K18" s="188">
        <v>7</v>
      </c>
      <c r="L18" s="185"/>
      <c r="M18" s="183">
        <v>7</v>
      </c>
      <c r="N18" s="354">
        <v>7</v>
      </c>
    </row>
    <row r="19" spans="1:14" s="160" customFormat="1" ht="14.25" customHeight="1">
      <c r="A19" s="300" t="s">
        <v>334</v>
      </c>
      <c r="B19" s="1818"/>
      <c r="C19" s="1814"/>
      <c r="D19" s="186" t="s">
        <v>333</v>
      </c>
      <c r="E19" s="1809"/>
      <c r="F19" s="182"/>
      <c r="G19" s="183">
        <v>8</v>
      </c>
      <c r="H19" s="184">
        <v>8</v>
      </c>
      <c r="I19" s="182"/>
      <c r="J19" s="183">
        <v>8.5090000000000003</v>
      </c>
      <c r="K19" s="184">
        <v>8.5090000000000003</v>
      </c>
      <c r="L19" s="185"/>
      <c r="M19" s="183">
        <v>11.715622003</v>
      </c>
      <c r="N19" s="354">
        <v>11.715622003</v>
      </c>
    </row>
    <row r="20" spans="1:14" s="160" customFormat="1" ht="14.25" customHeight="1">
      <c r="A20" s="300" t="s">
        <v>396</v>
      </c>
      <c r="B20" s="1818"/>
      <c r="C20" s="1814"/>
      <c r="D20" s="824" t="s">
        <v>393</v>
      </c>
      <c r="E20" s="1810"/>
      <c r="F20" s="826"/>
      <c r="G20" s="827">
        <v>10.026</v>
      </c>
      <c r="H20" s="828">
        <v>10.026</v>
      </c>
      <c r="I20" s="826"/>
      <c r="J20" s="827">
        <v>12.641</v>
      </c>
      <c r="K20" s="828">
        <v>12.641</v>
      </c>
      <c r="L20" s="185"/>
      <c r="M20" s="183">
        <v>17.20165493</v>
      </c>
      <c r="N20" s="354">
        <v>17.20165493</v>
      </c>
    </row>
    <row r="21" spans="1:14" s="160" customFormat="1" ht="14.25" customHeight="1">
      <c r="A21" s="300" t="s">
        <v>330</v>
      </c>
      <c r="B21" s="1818"/>
      <c r="C21" s="1814"/>
      <c r="D21" s="840" t="s">
        <v>518</v>
      </c>
      <c r="E21" s="841" t="s">
        <v>284</v>
      </c>
      <c r="F21" s="842"/>
      <c r="G21" s="843">
        <v>2.5</v>
      </c>
      <c r="H21" s="844">
        <v>2.5</v>
      </c>
      <c r="I21" s="842"/>
      <c r="J21" s="843">
        <v>2.5</v>
      </c>
      <c r="K21" s="844">
        <v>2.5</v>
      </c>
      <c r="L21" s="185"/>
      <c r="M21" s="183">
        <v>2.5</v>
      </c>
      <c r="N21" s="354">
        <v>2.5</v>
      </c>
    </row>
    <row r="22" spans="1:14" s="160" customFormat="1" ht="14.25" customHeight="1">
      <c r="A22" s="300" t="s">
        <v>328</v>
      </c>
      <c r="B22" s="1818"/>
      <c r="C22" s="1814"/>
      <c r="D22" s="831" t="s">
        <v>220</v>
      </c>
      <c r="E22" s="1808" t="s">
        <v>140</v>
      </c>
      <c r="F22" s="347"/>
      <c r="G22" s="832">
        <v>0.5</v>
      </c>
      <c r="H22" s="188">
        <v>0.5</v>
      </c>
      <c r="I22" s="347"/>
      <c r="J22" s="832">
        <v>0.5</v>
      </c>
      <c r="K22" s="188">
        <v>0.5</v>
      </c>
      <c r="L22" s="185"/>
      <c r="M22" s="183"/>
      <c r="N22" s="354">
        <v>0</v>
      </c>
    </row>
    <row r="23" spans="1:14" s="160" customFormat="1" ht="14.25" customHeight="1">
      <c r="A23" s="300" t="s">
        <v>270</v>
      </c>
      <c r="B23" s="1818"/>
      <c r="C23" s="1814"/>
      <c r="D23" s="186" t="s">
        <v>220</v>
      </c>
      <c r="E23" s="1809"/>
      <c r="F23" s="182"/>
      <c r="G23" s="183">
        <v>2.0139999999999998</v>
      </c>
      <c r="H23" s="184">
        <v>2.0139999999999998</v>
      </c>
      <c r="I23" s="182"/>
      <c r="J23" s="183">
        <v>1.1240000000000001</v>
      </c>
      <c r="K23" s="184">
        <v>1.1240000000000001</v>
      </c>
      <c r="L23" s="185"/>
      <c r="M23" s="183">
        <v>0.76502810999999993</v>
      </c>
      <c r="N23" s="354">
        <v>0.76502810999999993</v>
      </c>
    </row>
    <row r="24" spans="1:14" s="160" customFormat="1" ht="14.25" customHeight="1">
      <c r="A24" s="301" t="s">
        <v>395</v>
      </c>
      <c r="B24" s="1818"/>
      <c r="C24" s="1814"/>
      <c r="D24" s="269" t="s">
        <v>220</v>
      </c>
      <c r="E24" s="1809"/>
      <c r="F24" s="182"/>
      <c r="G24" s="183">
        <v>1.2</v>
      </c>
      <c r="H24" s="184">
        <v>1.2</v>
      </c>
      <c r="I24" s="182"/>
      <c r="J24" s="183">
        <v>3</v>
      </c>
      <c r="K24" s="184">
        <v>3</v>
      </c>
      <c r="L24" s="185"/>
      <c r="M24" s="183">
        <v>1.6</v>
      </c>
      <c r="N24" s="354">
        <v>1.6</v>
      </c>
    </row>
    <row r="25" spans="1:14" s="160" customFormat="1" ht="14.25" customHeight="1">
      <c r="A25" s="301" t="s">
        <v>525</v>
      </c>
      <c r="B25" s="1818"/>
      <c r="C25" s="1814"/>
      <c r="D25" s="269" t="s">
        <v>220</v>
      </c>
      <c r="E25" s="1809"/>
      <c r="F25" s="1258"/>
      <c r="G25" s="1259"/>
      <c r="H25" s="363"/>
      <c r="I25" s="1258"/>
      <c r="J25" s="1259">
        <v>0.109</v>
      </c>
      <c r="K25" s="363">
        <v>0.109</v>
      </c>
      <c r="L25" s="185"/>
      <c r="M25" s="183">
        <v>0.8</v>
      </c>
      <c r="N25" s="354">
        <v>0.8</v>
      </c>
    </row>
    <row r="26" spans="1:14" s="160" customFormat="1" ht="14.25" customHeight="1">
      <c r="A26" s="823" t="s">
        <v>397</v>
      </c>
      <c r="B26" s="1807"/>
      <c r="C26" s="1815"/>
      <c r="D26" s="269" t="s">
        <v>392</v>
      </c>
      <c r="E26" s="1810"/>
      <c r="F26" s="826"/>
      <c r="G26" s="827">
        <v>0.55100000000000005</v>
      </c>
      <c r="H26" s="828">
        <v>0.55100000000000005</v>
      </c>
      <c r="I26" s="826"/>
      <c r="J26" s="827">
        <v>1</v>
      </c>
      <c r="K26" s="828">
        <v>1</v>
      </c>
      <c r="L26" s="185"/>
      <c r="M26" s="183">
        <v>0.50503900000000002</v>
      </c>
      <c r="N26" s="354">
        <v>0.50503900000000002</v>
      </c>
    </row>
    <row r="27" spans="1:14" s="160" customFormat="1" ht="14.25" customHeight="1">
      <c r="A27" s="1007"/>
      <c r="B27" s="1008"/>
      <c r="C27" s="1008" t="s">
        <v>468</v>
      </c>
      <c r="D27" s="1009"/>
      <c r="E27" s="1010"/>
      <c r="F27" s="1011">
        <v>0</v>
      </c>
      <c r="G27" s="1011">
        <v>80.870999999999995</v>
      </c>
      <c r="H27" s="1011">
        <v>80.870999999999995</v>
      </c>
      <c r="I27" s="1011">
        <v>0</v>
      </c>
      <c r="J27" s="1011">
        <v>98.082999999999998</v>
      </c>
      <c r="K27" s="1011">
        <v>98.082999999999998</v>
      </c>
      <c r="L27" s="1011">
        <v>0</v>
      </c>
      <c r="M27" s="1011">
        <v>130.75589298800003</v>
      </c>
      <c r="N27" s="1011">
        <v>130.75589298800003</v>
      </c>
    </row>
    <row r="28" spans="1:14" s="160" customFormat="1" ht="14.25" customHeight="1">
      <c r="A28" s="298" t="s">
        <v>469</v>
      </c>
      <c r="B28" s="1806" t="s">
        <v>457</v>
      </c>
      <c r="C28" s="1811" t="s">
        <v>470</v>
      </c>
      <c r="D28" s="846" t="s">
        <v>42</v>
      </c>
      <c r="E28" s="847" t="s">
        <v>111</v>
      </c>
      <c r="F28" s="179"/>
      <c r="G28" s="180">
        <v>2.0510000000000002</v>
      </c>
      <c r="H28" s="181">
        <v>2.0510000000000002</v>
      </c>
      <c r="I28" s="179"/>
      <c r="J28" s="180">
        <v>0.16</v>
      </c>
      <c r="K28" s="181">
        <v>0.16</v>
      </c>
      <c r="L28" s="185"/>
      <c r="M28" s="183"/>
      <c r="N28" s="354">
        <v>0</v>
      </c>
    </row>
    <row r="29" spans="1:14" s="160" customFormat="1" ht="27" customHeight="1">
      <c r="A29" s="848" t="s">
        <v>425</v>
      </c>
      <c r="B29" s="1807"/>
      <c r="C29" s="1812"/>
      <c r="D29" s="849" t="s">
        <v>421</v>
      </c>
      <c r="E29" s="825" t="s">
        <v>138</v>
      </c>
      <c r="F29" s="842"/>
      <c r="G29" s="843">
        <v>1.946</v>
      </c>
      <c r="H29" s="844">
        <v>1.946</v>
      </c>
      <c r="I29" s="842"/>
      <c r="J29" s="843">
        <v>5</v>
      </c>
      <c r="K29" s="844">
        <v>5</v>
      </c>
      <c r="L29" s="185"/>
      <c r="M29" s="183">
        <v>5.8113694999999996</v>
      </c>
      <c r="N29" s="354">
        <v>5.8113694999999996</v>
      </c>
    </row>
    <row r="30" spans="1:14" s="160" customFormat="1" ht="14.25" customHeight="1">
      <c r="A30" s="1007"/>
      <c r="B30" s="1008"/>
      <c r="C30" s="1008" t="s">
        <v>471</v>
      </c>
      <c r="D30" s="1009"/>
      <c r="E30" s="1010"/>
      <c r="F30" s="1011">
        <v>0</v>
      </c>
      <c r="G30" s="1011">
        <v>3.9969999999999999</v>
      </c>
      <c r="H30" s="1011">
        <v>3.9969999999999999</v>
      </c>
      <c r="I30" s="1011">
        <v>0</v>
      </c>
      <c r="J30" s="1011">
        <v>5.16</v>
      </c>
      <c r="K30" s="1011">
        <v>5.16</v>
      </c>
      <c r="L30" s="1011">
        <v>0</v>
      </c>
      <c r="M30" s="1011">
        <v>5.8113694999999996</v>
      </c>
      <c r="N30" s="1011">
        <v>5.8113694999999996</v>
      </c>
    </row>
    <row r="31" spans="1:14" s="160" customFormat="1" ht="14.25" customHeight="1">
      <c r="A31" s="851" t="s">
        <v>269</v>
      </c>
      <c r="B31" s="852" t="s">
        <v>461</v>
      </c>
      <c r="C31" s="853" t="s">
        <v>472</v>
      </c>
      <c r="D31" s="831" t="s">
        <v>54</v>
      </c>
      <c r="E31" s="834" t="s">
        <v>112</v>
      </c>
      <c r="F31" s="347">
        <v>0.30299999999999999</v>
      </c>
      <c r="G31" s="832"/>
      <c r="H31" s="188">
        <v>0.30299999999999999</v>
      </c>
      <c r="I31" s="347">
        <v>0.33300000000000002</v>
      </c>
      <c r="J31" s="832"/>
      <c r="K31" s="188">
        <v>0.33300000000000002</v>
      </c>
      <c r="L31" s="185">
        <v>0.49753399999999998</v>
      </c>
      <c r="M31" s="183"/>
      <c r="N31" s="354">
        <v>0.49753399999999998</v>
      </c>
    </row>
    <row r="32" spans="1:14" s="160" customFormat="1" ht="14.25" customHeight="1">
      <c r="A32" s="851" t="s">
        <v>527</v>
      </c>
      <c r="B32" s="852" t="s">
        <v>457</v>
      </c>
      <c r="C32" s="853" t="s">
        <v>472</v>
      </c>
      <c r="D32" s="831" t="s">
        <v>523</v>
      </c>
      <c r="E32" s="834" t="s">
        <v>265</v>
      </c>
      <c r="F32" s="347"/>
      <c r="G32" s="832"/>
      <c r="H32" s="188"/>
      <c r="I32" s="347"/>
      <c r="J32" s="832">
        <v>2</v>
      </c>
      <c r="K32" s="188">
        <v>2</v>
      </c>
      <c r="L32" s="185"/>
      <c r="M32" s="183">
        <v>2.82</v>
      </c>
      <c r="N32" s="354">
        <v>2.82</v>
      </c>
    </row>
    <row r="33" spans="1:14" s="160" customFormat="1" ht="14.25" customHeight="1">
      <c r="A33" s="1012"/>
      <c r="B33" s="1013"/>
      <c r="C33" s="1013" t="s">
        <v>473</v>
      </c>
      <c r="D33" s="1014"/>
      <c r="E33" s="1015"/>
      <c r="F33" s="1011">
        <v>0.30299999999999999</v>
      </c>
      <c r="G33" s="1011">
        <v>0</v>
      </c>
      <c r="H33" s="1011">
        <v>0.30299999999999999</v>
      </c>
      <c r="I33" s="1011">
        <v>0.33300000000000002</v>
      </c>
      <c r="J33" s="1011">
        <v>2</v>
      </c>
      <c r="K33" s="1011">
        <v>2.3330000000000002</v>
      </c>
      <c r="L33" s="1011">
        <v>0.49753399999999998</v>
      </c>
      <c r="M33" s="1011">
        <v>2.82</v>
      </c>
      <c r="N33" s="1011">
        <v>3.3175339999999998</v>
      </c>
    </row>
    <row r="34" spans="1:14" s="161" customFormat="1" ht="14.25" customHeight="1">
      <c r="A34" s="1016" t="s">
        <v>136</v>
      </c>
      <c r="B34" s="1017"/>
      <c r="C34" s="1017"/>
      <c r="D34" s="1018"/>
      <c r="E34" s="1019"/>
      <c r="F34" s="1020">
        <v>0.30299999999999999</v>
      </c>
      <c r="G34" s="1020">
        <v>84.867999999999995</v>
      </c>
      <c r="H34" s="1020">
        <v>85.170999999999992</v>
      </c>
      <c r="I34" s="1020">
        <v>0.33300000000000002</v>
      </c>
      <c r="J34" s="1020">
        <v>105.24299999999999</v>
      </c>
      <c r="K34" s="1020">
        <v>105.57599999999999</v>
      </c>
      <c r="L34" s="1020">
        <v>0.49753399999999998</v>
      </c>
      <c r="M34" s="1020">
        <v>139.38726248800003</v>
      </c>
      <c r="N34" s="1020">
        <v>139.88479648800003</v>
      </c>
    </row>
    <row r="35" spans="1:14" s="160" customFormat="1" ht="14.25" customHeight="1">
      <c r="A35" s="848" t="s">
        <v>278</v>
      </c>
      <c r="B35" s="852" t="s">
        <v>461</v>
      </c>
      <c r="C35" s="1813" t="s">
        <v>458</v>
      </c>
      <c r="D35" s="831" t="s">
        <v>247</v>
      </c>
      <c r="E35" s="1816" t="s">
        <v>138</v>
      </c>
      <c r="F35" s="182"/>
      <c r="G35" s="183">
        <v>16.312000000000001</v>
      </c>
      <c r="H35" s="184">
        <v>16.312000000000001</v>
      </c>
      <c r="I35" s="182"/>
      <c r="J35" s="183">
        <v>18.276</v>
      </c>
      <c r="K35" s="184">
        <v>18.276</v>
      </c>
      <c r="L35" s="185"/>
      <c r="M35" s="183">
        <v>18.118747899999999</v>
      </c>
      <c r="N35" s="354">
        <v>18.118747899999999</v>
      </c>
    </row>
    <row r="36" spans="1:14" s="160" customFormat="1" ht="14.25" customHeight="1">
      <c r="A36" s="851" t="s">
        <v>271</v>
      </c>
      <c r="B36" s="1818" t="s">
        <v>457</v>
      </c>
      <c r="C36" s="1814"/>
      <c r="D36" s="854" t="s">
        <v>297</v>
      </c>
      <c r="E36" s="1817"/>
      <c r="F36" s="826"/>
      <c r="G36" s="827">
        <v>3.36</v>
      </c>
      <c r="H36" s="828">
        <v>3.36</v>
      </c>
      <c r="I36" s="826"/>
      <c r="J36" s="827">
        <v>3.92</v>
      </c>
      <c r="K36" s="828">
        <v>3.92</v>
      </c>
      <c r="L36" s="185"/>
      <c r="M36" s="183">
        <v>3.9199976999999997</v>
      </c>
      <c r="N36" s="354">
        <v>3.9199976999999997</v>
      </c>
    </row>
    <row r="37" spans="1:14" s="160" customFormat="1" ht="14.25" customHeight="1">
      <c r="A37" s="823" t="s">
        <v>279</v>
      </c>
      <c r="B37" s="1807"/>
      <c r="C37" s="1815"/>
      <c r="D37" s="855" t="s">
        <v>298</v>
      </c>
      <c r="E37" s="849" t="s">
        <v>140</v>
      </c>
      <c r="F37" s="856"/>
      <c r="G37" s="858">
        <v>1.8009999999999999</v>
      </c>
      <c r="H37" s="857">
        <v>1.8009999999999999</v>
      </c>
      <c r="I37" s="856"/>
      <c r="J37" s="858">
        <v>1.2929999999999999</v>
      </c>
      <c r="K37" s="857">
        <v>1.2929999999999999</v>
      </c>
      <c r="L37" s="185"/>
      <c r="M37" s="183">
        <v>1.4882882</v>
      </c>
      <c r="N37" s="354">
        <v>1.4882882</v>
      </c>
    </row>
    <row r="38" spans="1:14" s="160" customFormat="1" ht="14.25" customHeight="1">
      <c r="A38" s="1007"/>
      <c r="B38" s="1008"/>
      <c r="C38" s="1008" t="s">
        <v>468</v>
      </c>
      <c r="D38" s="1009"/>
      <c r="E38" s="1010"/>
      <c r="F38" s="1011">
        <v>0</v>
      </c>
      <c r="G38" s="1011">
        <v>21.472999999999999</v>
      </c>
      <c r="H38" s="1011">
        <v>21.472999999999999</v>
      </c>
      <c r="I38" s="1011">
        <v>0</v>
      </c>
      <c r="J38" s="1011">
        <v>23.488999999999997</v>
      </c>
      <c r="K38" s="1011">
        <v>23.488999999999997</v>
      </c>
      <c r="L38" s="1011">
        <v>0</v>
      </c>
      <c r="M38" s="1011">
        <v>23.527033799999998</v>
      </c>
      <c r="N38" s="1011">
        <v>23.527033799999998</v>
      </c>
    </row>
    <row r="39" spans="1:14" s="160" customFormat="1" ht="14.25" customHeight="1">
      <c r="A39" s="851" t="s">
        <v>273</v>
      </c>
      <c r="B39" s="1806" t="s">
        <v>457</v>
      </c>
      <c r="C39" s="1813" t="s">
        <v>470</v>
      </c>
      <c r="D39" s="1413" t="s">
        <v>155</v>
      </c>
      <c r="E39" s="1808" t="s">
        <v>111</v>
      </c>
      <c r="F39" s="183"/>
      <c r="G39" s="183">
        <v>6</v>
      </c>
      <c r="H39" s="188">
        <v>6</v>
      </c>
      <c r="I39" s="183"/>
      <c r="J39" s="183">
        <v>7.1950000000000003</v>
      </c>
      <c r="K39" s="188">
        <v>7.1950000000000003</v>
      </c>
      <c r="L39" s="185"/>
      <c r="M39" s="183">
        <v>7.1980699999999995</v>
      </c>
      <c r="N39" s="354">
        <v>7.1980699999999995</v>
      </c>
    </row>
    <row r="40" spans="1:14" s="160" customFormat="1" ht="14.25" customHeight="1">
      <c r="A40" s="300" t="s">
        <v>422</v>
      </c>
      <c r="B40" s="1818"/>
      <c r="C40" s="1814"/>
      <c r="D40" s="1413" t="s">
        <v>212</v>
      </c>
      <c r="E40" s="1809"/>
      <c r="F40" s="183"/>
      <c r="G40" s="183">
        <v>1.2</v>
      </c>
      <c r="H40" s="184">
        <v>1.2</v>
      </c>
      <c r="I40" s="183"/>
      <c r="J40" s="183">
        <v>1.44</v>
      </c>
      <c r="K40" s="184">
        <v>1.44</v>
      </c>
      <c r="L40" s="185"/>
      <c r="M40" s="183">
        <v>1.68</v>
      </c>
      <c r="N40" s="354">
        <v>1.68</v>
      </c>
    </row>
    <row r="41" spans="1:14" s="160" customFormat="1" ht="14.25" customHeight="1">
      <c r="A41" s="300" t="s">
        <v>528</v>
      </c>
      <c r="B41" s="1818"/>
      <c r="C41" s="1814"/>
      <c r="D41" s="1413" t="s">
        <v>155</v>
      </c>
      <c r="E41" s="1809"/>
      <c r="F41" s="183"/>
      <c r="G41" s="183"/>
      <c r="H41" s="184"/>
      <c r="I41" s="183"/>
      <c r="J41" s="183">
        <v>0.71199999999999997</v>
      </c>
      <c r="K41" s="184">
        <v>0.71199999999999997</v>
      </c>
      <c r="L41" s="185"/>
      <c r="M41" s="183">
        <v>6.2493299999999996</v>
      </c>
      <c r="N41" s="354">
        <v>6.2493299999999996</v>
      </c>
    </row>
    <row r="42" spans="1:14" s="160" customFormat="1" ht="14.25" customHeight="1">
      <c r="A42" s="300" t="s">
        <v>551</v>
      </c>
      <c r="B42" s="1818"/>
      <c r="C42" s="1814"/>
      <c r="D42" s="1435" t="s">
        <v>129</v>
      </c>
      <c r="E42" s="1809"/>
      <c r="F42" s="1436"/>
      <c r="G42" s="1259"/>
      <c r="H42" s="363"/>
      <c r="I42" s="1436"/>
      <c r="J42" s="1259"/>
      <c r="K42" s="363"/>
      <c r="L42" s="185"/>
      <c r="M42" s="183">
        <v>7.6351000000000002E-2</v>
      </c>
      <c r="N42" s="354">
        <v>7.6351000000000002E-2</v>
      </c>
    </row>
    <row r="43" spans="1:14" s="160" customFormat="1" ht="14.25" customHeight="1">
      <c r="A43" s="300" t="s">
        <v>529</v>
      </c>
      <c r="B43" s="1818"/>
      <c r="C43" s="1814"/>
      <c r="D43" s="1414" t="s">
        <v>48</v>
      </c>
      <c r="E43" s="1810"/>
      <c r="F43" s="826"/>
      <c r="G43" s="827"/>
      <c r="H43" s="828"/>
      <c r="I43" s="826"/>
      <c r="J43" s="827">
        <v>1.8029999999999999</v>
      </c>
      <c r="K43" s="828">
        <v>1.8029999999999999</v>
      </c>
      <c r="L43" s="185"/>
      <c r="M43" s="183">
        <v>3.9999850000000001</v>
      </c>
      <c r="N43" s="354">
        <v>3.9999850000000001</v>
      </c>
    </row>
    <row r="44" spans="1:14" s="161" customFormat="1" ht="25.5">
      <c r="A44" s="823" t="s">
        <v>474</v>
      </c>
      <c r="B44" s="1818"/>
      <c r="C44" s="1814"/>
      <c r="D44" s="849" t="s">
        <v>475</v>
      </c>
      <c r="E44" s="825" t="s">
        <v>138</v>
      </c>
      <c r="F44" s="859"/>
      <c r="G44" s="858">
        <v>2.4E-2</v>
      </c>
      <c r="H44" s="857">
        <v>2.4E-2</v>
      </c>
      <c r="I44" s="859"/>
      <c r="J44" s="858">
        <v>0.3</v>
      </c>
      <c r="K44" s="857">
        <v>0.3</v>
      </c>
      <c r="L44" s="185"/>
      <c r="M44" s="183">
        <v>0.25005500000000003</v>
      </c>
      <c r="N44" s="354">
        <v>0.25005500000000003</v>
      </c>
    </row>
    <row r="45" spans="1:14" s="161" customFormat="1">
      <c r="A45" s="823" t="s">
        <v>530</v>
      </c>
      <c r="B45" s="1818"/>
      <c r="C45" s="1814"/>
      <c r="D45" s="849" t="s">
        <v>514</v>
      </c>
      <c r="E45" s="825" t="s">
        <v>299</v>
      </c>
      <c r="F45" s="859"/>
      <c r="G45" s="858"/>
      <c r="H45" s="857"/>
      <c r="I45" s="859"/>
      <c r="J45" s="858">
        <v>8.5000000000000006E-2</v>
      </c>
      <c r="K45" s="857">
        <v>8.5000000000000006E-2</v>
      </c>
      <c r="L45" s="185"/>
      <c r="M45" s="183">
        <v>0.75</v>
      </c>
      <c r="N45" s="354">
        <v>0.75</v>
      </c>
    </row>
    <row r="46" spans="1:14" s="161" customFormat="1">
      <c r="A46" s="823" t="s">
        <v>531</v>
      </c>
      <c r="B46" s="1807"/>
      <c r="C46" s="1815"/>
      <c r="D46" s="849" t="s">
        <v>48</v>
      </c>
      <c r="E46" s="825" t="s">
        <v>265</v>
      </c>
      <c r="F46" s="859"/>
      <c r="G46" s="858"/>
      <c r="H46" s="857"/>
      <c r="I46" s="859"/>
      <c r="J46" s="858">
        <v>1.0269999999999999</v>
      </c>
      <c r="K46" s="857">
        <v>1.0269999999999999</v>
      </c>
      <c r="L46" s="185"/>
      <c r="M46" s="183">
        <v>3.36786786</v>
      </c>
      <c r="N46" s="354">
        <v>3.36786786</v>
      </c>
    </row>
    <row r="47" spans="1:14" s="161" customFormat="1">
      <c r="A47" s="1437" t="s">
        <v>552</v>
      </c>
      <c r="B47" s="1438"/>
      <c r="C47" s="1439"/>
      <c r="D47" s="1440" t="s">
        <v>540</v>
      </c>
      <c r="E47" s="834" t="s">
        <v>112</v>
      </c>
      <c r="F47" s="1441"/>
      <c r="G47" s="1442"/>
      <c r="H47" s="1443"/>
      <c r="I47" s="1441"/>
      <c r="J47" s="1442"/>
      <c r="K47" s="1443"/>
      <c r="L47" s="339"/>
      <c r="M47" s="339">
        <v>5.9919999999999999E-3</v>
      </c>
      <c r="N47" s="354">
        <v>5.9919999999999999E-3</v>
      </c>
    </row>
    <row r="48" spans="1:14" s="160" customFormat="1" ht="14.25" customHeight="1">
      <c r="A48" s="1007"/>
      <c r="B48" s="1008"/>
      <c r="C48" s="1008" t="s">
        <v>471</v>
      </c>
      <c r="D48" s="1009"/>
      <c r="E48" s="1010"/>
      <c r="F48" s="1011">
        <v>0</v>
      </c>
      <c r="G48" s="1011">
        <v>7.2240000000000002</v>
      </c>
      <c r="H48" s="1011">
        <v>7.2240000000000002</v>
      </c>
      <c r="I48" s="1011">
        <v>0</v>
      </c>
      <c r="J48" s="1011">
        <v>12.561999999999999</v>
      </c>
      <c r="K48" s="1011">
        <v>12.561999999999999</v>
      </c>
      <c r="L48" s="1011">
        <v>0</v>
      </c>
      <c r="M48" s="1011">
        <v>23.577650859999999</v>
      </c>
      <c r="N48" s="1011">
        <v>23.577650859999999</v>
      </c>
    </row>
    <row r="49" spans="1:14" s="160" customFormat="1" ht="14.25" customHeight="1">
      <c r="A49" s="851" t="s">
        <v>274</v>
      </c>
      <c r="B49" s="1806" t="s">
        <v>457</v>
      </c>
      <c r="C49" s="1813" t="s">
        <v>472</v>
      </c>
      <c r="D49" s="831" t="s">
        <v>122</v>
      </c>
      <c r="E49" s="1816" t="s">
        <v>111</v>
      </c>
      <c r="F49" s="347"/>
      <c r="G49" s="832">
        <v>0.56000000000000005</v>
      </c>
      <c r="H49" s="188">
        <v>0.56000000000000005</v>
      </c>
      <c r="I49" s="347"/>
      <c r="J49" s="832">
        <v>0.46800000000000003</v>
      </c>
      <c r="K49" s="188">
        <v>0.46800000000000003</v>
      </c>
      <c r="L49" s="185"/>
      <c r="M49" s="183">
        <v>0.30676299999999995</v>
      </c>
      <c r="N49" s="354">
        <v>0.30676299999999995</v>
      </c>
    </row>
    <row r="50" spans="1:14" s="160" customFormat="1" ht="14.25" customHeight="1">
      <c r="A50" s="300" t="s">
        <v>275</v>
      </c>
      <c r="B50" s="1818"/>
      <c r="C50" s="1814"/>
      <c r="D50" s="186" t="s">
        <v>122</v>
      </c>
      <c r="E50" s="1825"/>
      <c r="F50" s="182"/>
      <c r="G50" s="183"/>
      <c r="H50" s="184">
        <v>0</v>
      </c>
      <c r="I50" s="182"/>
      <c r="J50" s="183">
        <v>0</v>
      </c>
      <c r="K50" s="184">
        <v>0</v>
      </c>
      <c r="L50" s="185"/>
      <c r="M50" s="183"/>
      <c r="N50" s="354">
        <v>0</v>
      </c>
    </row>
    <row r="51" spans="1:14" s="160" customFormat="1" ht="14.25" customHeight="1">
      <c r="A51" s="300" t="s">
        <v>331</v>
      </c>
      <c r="B51" s="1818"/>
      <c r="C51" s="1814"/>
      <c r="D51" s="186" t="s">
        <v>296</v>
      </c>
      <c r="E51" s="1825"/>
      <c r="F51" s="182"/>
      <c r="G51" s="183">
        <v>1</v>
      </c>
      <c r="H51" s="184">
        <v>1</v>
      </c>
      <c r="I51" s="182"/>
      <c r="J51" s="183">
        <v>1</v>
      </c>
      <c r="K51" s="184">
        <v>1</v>
      </c>
      <c r="L51" s="185"/>
      <c r="M51" s="183">
        <v>0.40744999999999998</v>
      </c>
      <c r="N51" s="354">
        <v>0.40744999999999998</v>
      </c>
    </row>
    <row r="52" spans="1:14" s="160" customFormat="1" ht="14.25" customHeight="1">
      <c r="A52" s="860" t="s">
        <v>329</v>
      </c>
      <c r="B52" s="1818"/>
      <c r="C52" s="1814"/>
      <c r="D52" s="861" t="s">
        <v>324</v>
      </c>
      <c r="E52" s="1817"/>
      <c r="F52" s="826"/>
      <c r="G52" s="827">
        <v>1.2</v>
      </c>
      <c r="H52" s="828">
        <v>1.2</v>
      </c>
      <c r="I52" s="826"/>
      <c r="J52" s="827">
        <v>0.95</v>
      </c>
      <c r="K52" s="828">
        <v>0.95</v>
      </c>
      <c r="L52" s="185"/>
      <c r="M52" s="183">
        <v>0.54655600000000004</v>
      </c>
      <c r="N52" s="354">
        <v>0.54655600000000004</v>
      </c>
    </row>
    <row r="53" spans="1:14" s="160" customFormat="1" ht="14.25" customHeight="1">
      <c r="A53" s="299" t="s">
        <v>276</v>
      </c>
      <c r="B53" s="1818"/>
      <c r="C53" s="1814"/>
      <c r="D53" s="846" t="s">
        <v>122</v>
      </c>
      <c r="E53" s="840" t="s">
        <v>112</v>
      </c>
      <c r="F53" s="862"/>
      <c r="G53" s="850">
        <v>0.125</v>
      </c>
      <c r="H53" s="844">
        <v>0.125</v>
      </c>
      <c r="I53" s="862"/>
      <c r="J53" s="850">
        <v>0.183</v>
      </c>
      <c r="K53" s="844">
        <v>0.183</v>
      </c>
      <c r="L53" s="185"/>
      <c r="M53" s="183"/>
      <c r="N53" s="354">
        <v>0</v>
      </c>
    </row>
    <row r="54" spans="1:14" s="160" customFormat="1" ht="14.25" customHeight="1">
      <c r="A54" s="860" t="s">
        <v>307</v>
      </c>
      <c r="B54" s="1818"/>
      <c r="C54" s="1814"/>
      <c r="D54" s="863" t="s">
        <v>305</v>
      </c>
      <c r="E54" s="1816" t="s">
        <v>138</v>
      </c>
      <c r="F54" s="347"/>
      <c r="G54" s="832">
        <v>0.35199999999999998</v>
      </c>
      <c r="H54" s="188">
        <v>0.35199999999999998</v>
      </c>
      <c r="I54" s="347"/>
      <c r="J54" s="832">
        <v>0.32900000000000001</v>
      </c>
      <c r="K54" s="188">
        <v>0.32900000000000001</v>
      </c>
      <c r="L54" s="185"/>
      <c r="M54" s="183">
        <v>0.30299999999999999</v>
      </c>
      <c r="N54" s="354">
        <v>0.30299999999999999</v>
      </c>
    </row>
    <row r="55" spans="1:14" s="160" customFormat="1" ht="14.25" customHeight="1">
      <c r="A55" s="300" t="s">
        <v>427</v>
      </c>
      <c r="B55" s="1818"/>
      <c r="C55" s="1814"/>
      <c r="D55" s="824" t="s">
        <v>420</v>
      </c>
      <c r="E55" s="1817"/>
      <c r="F55" s="826"/>
      <c r="G55" s="827">
        <v>0.35899999999999999</v>
      </c>
      <c r="H55" s="828">
        <v>0.35899999999999999</v>
      </c>
      <c r="I55" s="826"/>
      <c r="J55" s="827">
        <v>0.75</v>
      </c>
      <c r="K55" s="828">
        <v>0.75</v>
      </c>
      <c r="L55" s="185"/>
      <c r="M55" s="183">
        <v>0.11956399999999999</v>
      </c>
      <c r="N55" s="354">
        <v>0.11956399999999999</v>
      </c>
    </row>
    <row r="56" spans="1:14" s="161" customFormat="1" ht="14.25" customHeight="1">
      <c r="A56" s="300" t="s">
        <v>272</v>
      </c>
      <c r="B56" s="1818"/>
      <c r="C56" s="1814"/>
      <c r="D56" s="831" t="s">
        <v>142</v>
      </c>
      <c r="E56" s="1826" t="s">
        <v>299</v>
      </c>
      <c r="F56" s="347"/>
      <c r="G56" s="832">
        <v>0.193</v>
      </c>
      <c r="H56" s="188">
        <v>0.193</v>
      </c>
      <c r="I56" s="347"/>
      <c r="J56" s="832">
        <v>0.14599999999999999</v>
      </c>
      <c r="K56" s="188">
        <v>0.14599999999999999</v>
      </c>
      <c r="L56" s="185"/>
      <c r="M56" s="183">
        <v>0.11781999999999999</v>
      </c>
      <c r="N56" s="354">
        <v>0.11781999999999999</v>
      </c>
    </row>
    <row r="57" spans="1:14" s="161" customFormat="1" ht="14.25" customHeight="1">
      <c r="A57" s="300" t="s">
        <v>277</v>
      </c>
      <c r="B57" s="1818"/>
      <c r="C57" s="1814"/>
      <c r="D57" s="186" t="s">
        <v>227</v>
      </c>
      <c r="E57" s="1827"/>
      <c r="F57" s="182"/>
      <c r="G57" s="183">
        <v>0.18099999999999999</v>
      </c>
      <c r="H57" s="184">
        <v>0.18099999999999999</v>
      </c>
      <c r="I57" s="182"/>
      <c r="J57" s="183">
        <v>1E-3</v>
      </c>
      <c r="K57" s="184">
        <v>1E-3</v>
      </c>
      <c r="L57" s="185"/>
      <c r="M57" s="183"/>
      <c r="N57" s="354">
        <v>0</v>
      </c>
    </row>
    <row r="58" spans="1:14" s="161" customFormat="1" ht="14.25" customHeight="1">
      <c r="A58" s="300" t="s">
        <v>426</v>
      </c>
      <c r="B58" s="1818"/>
      <c r="C58" s="1814"/>
      <c r="D58" s="824" t="s">
        <v>248</v>
      </c>
      <c r="E58" s="1828"/>
      <c r="F58" s="826"/>
      <c r="G58" s="827">
        <v>0.2</v>
      </c>
      <c r="H58" s="828">
        <v>0.2</v>
      </c>
      <c r="I58" s="826"/>
      <c r="J58" s="827">
        <v>0.105</v>
      </c>
      <c r="K58" s="828">
        <v>0.105</v>
      </c>
      <c r="L58" s="185"/>
      <c r="M58" s="183">
        <v>4.1113999999999998E-2</v>
      </c>
      <c r="N58" s="354">
        <v>4.1113999999999998E-2</v>
      </c>
    </row>
    <row r="59" spans="1:14" s="161" customFormat="1" ht="14.25" customHeight="1">
      <c r="A59" s="300" t="s">
        <v>476</v>
      </c>
      <c r="B59" s="1807"/>
      <c r="C59" s="1815"/>
      <c r="D59" s="186" t="s">
        <v>481</v>
      </c>
      <c r="E59" s="849" t="s">
        <v>265</v>
      </c>
      <c r="F59" s="182"/>
      <c r="G59" s="183">
        <v>0.69299999999999995</v>
      </c>
      <c r="H59" s="184">
        <v>0.69299999999999995</v>
      </c>
      <c r="I59" s="182"/>
      <c r="J59" s="183">
        <v>2.1259999999999999</v>
      </c>
      <c r="K59" s="184">
        <v>2.1259999999999999</v>
      </c>
      <c r="L59" s="185"/>
      <c r="M59" s="183">
        <v>2.0846832800000001</v>
      </c>
      <c r="N59" s="354">
        <v>2.0846832800000001</v>
      </c>
    </row>
    <row r="60" spans="1:14" s="160" customFormat="1" ht="14.25" customHeight="1">
      <c r="A60" s="1012"/>
      <c r="B60" s="1013"/>
      <c r="C60" s="1013" t="s">
        <v>473</v>
      </c>
      <c r="D60" s="1014"/>
      <c r="E60" s="1015"/>
      <c r="F60" s="1011">
        <v>0</v>
      </c>
      <c r="G60" s="1011">
        <v>4.8629999999999995</v>
      </c>
      <c r="H60" s="1011">
        <v>4.8629999999999995</v>
      </c>
      <c r="I60" s="1011">
        <v>0</v>
      </c>
      <c r="J60" s="1011">
        <v>6.0579999999999998</v>
      </c>
      <c r="K60" s="1011">
        <v>6.0579999999999998</v>
      </c>
      <c r="L60" s="1011">
        <v>0</v>
      </c>
      <c r="M60" s="1011">
        <v>3.9269502800000002</v>
      </c>
      <c r="N60" s="1011">
        <v>3.9269502800000002</v>
      </c>
    </row>
    <row r="61" spans="1:14" s="161" customFormat="1" ht="17.25" customHeight="1">
      <c r="A61" s="1016" t="s">
        <v>100</v>
      </c>
      <c r="B61" s="1017"/>
      <c r="C61" s="1017"/>
      <c r="D61" s="1018"/>
      <c r="E61" s="1019"/>
      <c r="F61" s="1020">
        <v>0</v>
      </c>
      <c r="G61" s="1020">
        <v>33.56</v>
      </c>
      <c r="H61" s="1020">
        <v>33.56</v>
      </c>
      <c r="I61" s="1020">
        <v>0</v>
      </c>
      <c r="J61" s="1020">
        <v>42.108999999999995</v>
      </c>
      <c r="K61" s="1020">
        <v>42.108999999999995</v>
      </c>
      <c r="L61" s="1020">
        <v>0</v>
      </c>
      <c r="M61" s="1020">
        <v>51.031634939999996</v>
      </c>
      <c r="N61" s="1020">
        <v>51.031634939999996</v>
      </c>
    </row>
    <row r="62" spans="1:14" s="161" customFormat="1" ht="17.25" customHeight="1" thickBot="1">
      <c r="A62" s="1243" t="s">
        <v>280</v>
      </c>
      <c r="B62" s="1244"/>
      <c r="C62" s="1244"/>
      <c r="D62" s="1245"/>
      <c r="E62" s="1246"/>
      <c r="F62" s="1247">
        <v>0.30299999999999999</v>
      </c>
      <c r="G62" s="1247">
        <v>118.428</v>
      </c>
      <c r="H62" s="1247">
        <v>118.73099999999999</v>
      </c>
      <c r="I62" s="1247">
        <v>0.33300000000000002</v>
      </c>
      <c r="J62" s="1247">
        <v>147.35199999999998</v>
      </c>
      <c r="K62" s="1247">
        <v>147.685</v>
      </c>
      <c r="L62" s="1247">
        <v>0.49753399999999998</v>
      </c>
      <c r="M62" s="1247">
        <v>190.41889742800004</v>
      </c>
      <c r="N62" s="1247">
        <v>190.91643142800004</v>
      </c>
    </row>
    <row r="63" spans="1:14" ht="17.25" customHeight="1" thickTop="1" thickBot="1">
      <c r="A63" s="864" t="s">
        <v>477</v>
      </c>
      <c r="B63" s="865"/>
      <c r="C63" s="865"/>
      <c r="D63" s="237"/>
      <c r="E63" s="238"/>
      <c r="F63" s="866"/>
      <c r="G63" s="866"/>
      <c r="H63" s="866"/>
      <c r="I63" s="866"/>
      <c r="J63" s="866"/>
      <c r="K63" s="866"/>
      <c r="L63" s="866"/>
      <c r="M63" s="866"/>
      <c r="N63" s="1003"/>
    </row>
    <row r="84" spans="1:1">
      <c r="A84" s="176" t="s">
        <v>428</v>
      </c>
    </row>
  </sheetData>
  <mergeCells count="30">
    <mergeCell ref="L3:N3"/>
    <mergeCell ref="A1:N1"/>
    <mergeCell ref="A2:N2"/>
    <mergeCell ref="A3:A4"/>
    <mergeCell ref="B3:B4"/>
    <mergeCell ref="C3:C4"/>
    <mergeCell ref="D3:D4"/>
    <mergeCell ref="E3:E4"/>
    <mergeCell ref="E6:E9"/>
    <mergeCell ref="I3:K3"/>
    <mergeCell ref="F3:H3"/>
    <mergeCell ref="B49:B59"/>
    <mergeCell ref="C49:C59"/>
    <mergeCell ref="E49:E52"/>
    <mergeCell ref="E54:E55"/>
    <mergeCell ref="E56:E58"/>
    <mergeCell ref="B39:B46"/>
    <mergeCell ref="C39:C46"/>
    <mergeCell ref="B6:B9"/>
    <mergeCell ref="C6:C26"/>
    <mergeCell ref="E10:E15"/>
    <mergeCell ref="B12:B26"/>
    <mergeCell ref="E18:E20"/>
    <mergeCell ref="E22:E26"/>
    <mergeCell ref="B28:B29"/>
    <mergeCell ref="E39:E43"/>
    <mergeCell ref="C28:C29"/>
    <mergeCell ref="C35:C37"/>
    <mergeCell ref="E35:E36"/>
    <mergeCell ref="B36:B37"/>
  </mergeCells>
  <printOptions horizontalCentered="1"/>
  <pageMargins left="0.31496062992125984" right="0.27559055118110237" top="0.41" bottom="0.28999999999999998" header="0.19685039370078741" footer="0.19685039370078741"/>
  <pageSetup paperSize="9" scale="85" firstPageNumber="30" orientation="portrait" useFirstPageNumber="1" r:id="rId1"/>
  <headerFooter scaleWithDoc="0" alignWithMargins="0"/>
  <rowBreaks count="1" manualBreakCount="1">
    <brk id="63" max="26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>
    <tabColor rgb="FF00B050"/>
  </sheetPr>
  <dimension ref="A1:AA30"/>
  <sheetViews>
    <sheetView zoomScaleNormal="100" zoomScaleSheetLayoutView="100" workbookViewId="0">
      <selection activeCell="O10" sqref="O10"/>
    </sheetView>
  </sheetViews>
  <sheetFormatPr defaultColWidth="9.140625" defaultRowHeight="12.75"/>
  <cols>
    <col min="1" max="1" width="7" style="171" customWidth="1"/>
    <col min="2" max="2" width="9.140625" style="171" customWidth="1"/>
    <col min="3" max="3" width="6" style="205" bestFit="1" customWidth="1"/>
    <col min="4" max="4" width="10.28515625" style="205" customWidth="1"/>
    <col min="5" max="5" width="9.42578125" style="223" customWidth="1"/>
    <col min="6" max="6" width="10" style="205" bestFit="1" customWidth="1"/>
    <col min="7" max="7" width="9.42578125" style="205" customWidth="1"/>
    <col min="8" max="8" width="9.28515625" style="223" customWidth="1"/>
    <col min="9" max="10" width="8" style="205" customWidth="1"/>
    <col min="11" max="11" width="9.140625" style="223" bestFit="1" customWidth="1"/>
    <col min="12" max="12" width="9.42578125" style="597" customWidth="1"/>
    <col min="13" max="13" width="8" style="205" customWidth="1"/>
    <col min="14" max="17" width="9.140625" style="171"/>
    <col min="18" max="18" width="9.7109375" style="171" bestFit="1" customWidth="1"/>
    <col min="19" max="19" width="8" style="171" bestFit="1" customWidth="1"/>
    <col min="20" max="22" width="8.85546875" style="171" bestFit="1" customWidth="1"/>
    <col min="23" max="25" width="8" style="171" bestFit="1" customWidth="1"/>
    <col min="26" max="16384" width="9.140625" style="171"/>
  </cols>
  <sheetData>
    <row r="1" spans="1:27" ht="19.149999999999999" customHeight="1">
      <c r="A1" s="1556" t="s">
        <v>548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</row>
    <row r="2" spans="1:27" s="162" customFormat="1">
      <c r="A2" s="1762" t="s">
        <v>417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4"/>
    </row>
    <row r="3" spans="1:27" s="168" customFormat="1" ht="27.75" customHeight="1">
      <c r="A3" s="1248" t="s">
        <v>316</v>
      </c>
      <c r="B3" s="1192" t="s">
        <v>507</v>
      </c>
      <c r="C3" s="1177" t="s">
        <v>56</v>
      </c>
      <c r="D3" s="1177" t="s">
        <v>57</v>
      </c>
      <c r="E3" s="1177" t="s">
        <v>58</v>
      </c>
      <c r="F3" s="1177" t="s">
        <v>59</v>
      </c>
      <c r="G3" s="1177" t="s">
        <v>60</v>
      </c>
      <c r="H3" s="1177" t="s">
        <v>61</v>
      </c>
      <c r="I3" s="1177" t="s">
        <v>62</v>
      </c>
      <c r="J3" s="1177" t="s">
        <v>338</v>
      </c>
      <c r="K3" s="1177" t="s">
        <v>337</v>
      </c>
      <c r="L3" s="1220" t="s">
        <v>146</v>
      </c>
      <c r="M3" s="1174" t="s">
        <v>432</v>
      </c>
    </row>
    <row r="4" spans="1:27" ht="17.649999999999999" customHeight="1">
      <c r="A4" s="945" t="s">
        <v>162</v>
      </c>
      <c r="B4" s="946" t="s">
        <v>163</v>
      </c>
      <c r="C4" s="946" t="s">
        <v>164</v>
      </c>
      <c r="D4" s="946" t="s">
        <v>165</v>
      </c>
      <c r="E4" s="946" t="s">
        <v>166</v>
      </c>
      <c r="F4" s="946" t="s">
        <v>167</v>
      </c>
      <c r="G4" s="946" t="s">
        <v>168</v>
      </c>
      <c r="H4" s="946" t="s">
        <v>169</v>
      </c>
      <c r="I4" s="946" t="s">
        <v>170</v>
      </c>
      <c r="J4" s="946" t="s">
        <v>171</v>
      </c>
      <c r="K4" s="946" t="s">
        <v>172</v>
      </c>
      <c r="L4" s="946" t="s">
        <v>173</v>
      </c>
      <c r="M4" s="947" t="s">
        <v>174</v>
      </c>
    </row>
    <row r="5" spans="1:27" s="169" customFormat="1" ht="14.1" customHeight="1">
      <c r="A5" s="1496">
        <v>45383</v>
      </c>
      <c r="B5" s="1496" t="s">
        <v>24</v>
      </c>
      <c r="C5" s="170"/>
      <c r="D5" s="170"/>
      <c r="E5" s="170">
        <v>1.7585E-2</v>
      </c>
      <c r="F5" s="170">
        <v>9.9546359999999987E-2</v>
      </c>
      <c r="G5" s="170">
        <v>0.38066845000000005</v>
      </c>
      <c r="H5" s="170">
        <v>0.52022087000000006</v>
      </c>
      <c r="I5" s="170">
        <v>2.8976267150000004</v>
      </c>
      <c r="J5" s="170">
        <v>1.42787646</v>
      </c>
      <c r="K5" s="170"/>
      <c r="L5" s="170">
        <v>5.3435238550000008</v>
      </c>
      <c r="M5" s="1518">
        <v>8.03904957806581E-2</v>
      </c>
      <c r="O5" s="1496"/>
      <c r="P5" s="1496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497"/>
    </row>
    <row r="6" spans="1:27" s="169" customFormat="1" ht="14.1" customHeight="1">
      <c r="A6" s="1496"/>
      <c r="B6" s="170" t="s">
        <v>25</v>
      </c>
      <c r="C6" s="170"/>
      <c r="D6" s="1498"/>
      <c r="E6" s="1498">
        <v>-2.3055555555555485E-2</v>
      </c>
      <c r="F6" s="1498">
        <v>5.636423999999999</v>
      </c>
      <c r="G6" s="1498">
        <v>2.6060512129380192E-2</v>
      </c>
      <c r="H6" s="1498">
        <v>3.2993460330578519</v>
      </c>
      <c r="I6" s="1498">
        <v>0.11020180651341015</v>
      </c>
      <c r="J6" s="1498">
        <v>-0.18685850797266515</v>
      </c>
      <c r="K6" s="1498"/>
      <c r="L6" s="1498">
        <v>9.2521745041913878E-2</v>
      </c>
      <c r="M6" s="1519"/>
      <c r="O6" s="1496"/>
      <c r="P6" s="170"/>
      <c r="Q6" s="170"/>
      <c r="R6" s="1498"/>
      <c r="S6" s="1498"/>
      <c r="T6" s="1498"/>
      <c r="U6" s="1498"/>
      <c r="V6" s="1498"/>
      <c r="W6" s="1498"/>
      <c r="X6" s="1498"/>
      <c r="Y6" s="1498"/>
      <c r="Z6" s="1498"/>
      <c r="AA6" s="1498"/>
    </row>
    <row r="7" spans="1:27" s="169" customFormat="1" ht="14.1" customHeight="1">
      <c r="A7" s="1496">
        <v>45413</v>
      </c>
      <c r="B7" s="1496" t="s">
        <v>24</v>
      </c>
      <c r="C7" s="170"/>
      <c r="D7" s="170"/>
      <c r="E7" s="170">
        <v>1.78E-2</v>
      </c>
      <c r="F7" s="170">
        <v>5.5551659999999996E-2</v>
      </c>
      <c r="G7" s="170">
        <v>0.48048352</v>
      </c>
      <c r="H7" s="170">
        <v>0.39283910000000011</v>
      </c>
      <c r="I7" s="170">
        <v>2.9563298940000005</v>
      </c>
      <c r="J7" s="170">
        <v>1.6621502800000001</v>
      </c>
      <c r="K7" s="170"/>
      <c r="L7" s="170">
        <v>5.565154454</v>
      </c>
      <c r="M7" s="1520">
        <v>8.3724811153294193E-2</v>
      </c>
      <c r="O7" s="1496"/>
      <c r="P7" s="1496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497"/>
    </row>
    <row r="8" spans="1:27" s="169" customFormat="1" ht="14.1" customHeight="1">
      <c r="A8" s="1496"/>
      <c r="B8" s="170" t="s">
        <v>25</v>
      </c>
      <c r="C8" s="170"/>
      <c r="D8" s="1498"/>
      <c r="E8" s="1498">
        <v>4.7058823529411681E-2</v>
      </c>
      <c r="F8" s="1498">
        <v>2.4719787499999994</v>
      </c>
      <c r="G8" s="1498">
        <v>0.67415860627177715</v>
      </c>
      <c r="H8" s="1498">
        <v>0.81031843317972396</v>
      </c>
      <c r="I8" s="1498">
        <v>7.3078001451905836E-2</v>
      </c>
      <c r="J8" s="1498">
        <v>-0.12976425130890043</v>
      </c>
      <c r="K8" s="1498"/>
      <c r="L8" s="1498">
        <v>6.9810544790465209E-2</v>
      </c>
      <c r="M8" s="1519"/>
      <c r="O8" s="1496"/>
      <c r="P8" s="170"/>
      <c r="Q8" s="170"/>
      <c r="R8" s="1498"/>
      <c r="S8" s="1498"/>
      <c r="T8" s="1498"/>
      <c r="U8" s="1498"/>
      <c r="V8" s="1498"/>
      <c r="W8" s="1498"/>
      <c r="X8" s="1498"/>
      <c r="Y8" s="1498"/>
      <c r="Z8" s="1498"/>
      <c r="AA8" s="1498"/>
    </row>
    <row r="9" spans="1:27" s="169" customFormat="1" ht="14.1" customHeight="1">
      <c r="A9" s="1496">
        <v>45444</v>
      </c>
      <c r="B9" s="1496" t="s">
        <v>24</v>
      </c>
      <c r="C9" s="170"/>
      <c r="D9" s="170"/>
      <c r="E9" s="170">
        <v>1.6E-2</v>
      </c>
      <c r="F9" s="170">
        <v>4.1923470000000004E-2</v>
      </c>
      <c r="G9" s="170">
        <v>0.58263748000000004</v>
      </c>
      <c r="H9" s="170">
        <v>0.42006388499999997</v>
      </c>
      <c r="I9" s="170">
        <v>2.5276579179999996</v>
      </c>
      <c r="J9" s="170">
        <v>1.51000549</v>
      </c>
      <c r="K9" s="170"/>
      <c r="L9" s="170">
        <v>5.0982882429999998</v>
      </c>
      <c r="M9" s="1520">
        <v>7.670105544751428E-2</v>
      </c>
      <c r="O9" s="1496"/>
      <c r="P9" s="1496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497"/>
    </row>
    <row r="10" spans="1:27" s="169" customFormat="1" ht="14.1" customHeight="1">
      <c r="A10" s="1496"/>
      <c r="B10" s="170" t="s">
        <v>25</v>
      </c>
      <c r="C10" s="170"/>
      <c r="D10" s="1498"/>
      <c r="E10" s="1498">
        <v>-0.15789473684210523</v>
      </c>
      <c r="F10" s="1498">
        <v>0.99635571428571434</v>
      </c>
      <c r="G10" s="1498">
        <v>1.5554275438596494</v>
      </c>
      <c r="H10" s="1498">
        <v>1.0898700746268655</v>
      </c>
      <c r="I10" s="1498">
        <v>-5.2507209759938252E-3</v>
      </c>
      <c r="J10" s="1498">
        <v>-0.19723259436469967</v>
      </c>
      <c r="K10" s="1498"/>
      <c r="L10" s="1498">
        <v>2.8917909788092788E-2</v>
      </c>
      <c r="M10" s="1519"/>
      <c r="O10" s="1496"/>
      <c r="P10" s="170"/>
      <c r="Q10" s="170"/>
      <c r="R10" s="1498"/>
      <c r="S10" s="1498"/>
      <c r="T10" s="1498"/>
      <c r="U10" s="1498"/>
      <c r="V10" s="1498"/>
      <c r="W10" s="1498"/>
      <c r="X10" s="1498"/>
      <c r="Y10" s="1498"/>
      <c r="Z10" s="1498"/>
      <c r="AA10" s="1498"/>
    </row>
    <row r="11" spans="1:27" s="169" customFormat="1" ht="14.1" customHeight="1">
      <c r="A11" s="1496">
        <v>45474</v>
      </c>
      <c r="B11" s="1496" t="s">
        <v>24</v>
      </c>
      <c r="C11" s="170"/>
      <c r="D11" s="170">
        <v>1.3574999999999999E-2</v>
      </c>
      <c r="E11" s="170">
        <v>1.5599999999999999E-2</v>
      </c>
      <c r="F11" s="170">
        <v>6.7079440000000004E-2</v>
      </c>
      <c r="G11" s="170">
        <v>0.58092677000000004</v>
      </c>
      <c r="H11" s="170">
        <v>0.37028085500000008</v>
      </c>
      <c r="I11" s="170">
        <v>2.1209645269999999</v>
      </c>
      <c r="J11" s="170">
        <v>1.55805222</v>
      </c>
      <c r="K11" s="170"/>
      <c r="L11" s="170">
        <v>4.7264788119999999</v>
      </c>
      <c r="M11" s="1520">
        <v>7.1107378820423714E-2</v>
      </c>
      <c r="O11" s="1496"/>
      <c r="P11" s="1496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497"/>
    </row>
    <row r="12" spans="1:27" s="169" customFormat="1" ht="14.1" customHeight="1">
      <c r="A12" s="1496"/>
      <c r="B12" s="170" t="s">
        <v>25</v>
      </c>
      <c r="C12" s="170"/>
      <c r="D12" s="1498"/>
      <c r="E12" s="1498">
        <v>-0.17894736842105266</v>
      </c>
      <c r="F12" s="1498">
        <v>3.7913885714285716</v>
      </c>
      <c r="G12" s="1498">
        <v>1.8758750990099009</v>
      </c>
      <c r="H12" s="1498">
        <v>0.39728624528301909</v>
      </c>
      <c r="I12" s="1498">
        <v>-0.25265520542635661</v>
      </c>
      <c r="J12" s="1498">
        <v>-7.8620804257835644E-2</v>
      </c>
      <c r="K12" s="1498"/>
      <c r="L12" s="1498">
        <v>-6.0155336647444831E-2</v>
      </c>
      <c r="M12" s="1519"/>
      <c r="O12" s="1496"/>
      <c r="P12" s="170"/>
      <c r="Q12" s="170"/>
      <c r="R12" s="1498"/>
      <c r="S12" s="1498"/>
      <c r="T12" s="1498"/>
      <c r="U12" s="1498"/>
      <c r="V12" s="1498"/>
      <c r="W12" s="1498"/>
      <c r="X12" s="1498"/>
      <c r="Y12" s="1498"/>
      <c r="Z12" s="1498"/>
      <c r="AA12" s="1498"/>
    </row>
    <row r="13" spans="1:27" s="169" customFormat="1" ht="14.1" customHeight="1">
      <c r="A13" s="1496">
        <v>45505</v>
      </c>
      <c r="B13" s="1496" t="s">
        <v>24</v>
      </c>
      <c r="C13" s="170"/>
      <c r="D13" s="170">
        <v>1.1474999999999999E-2</v>
      </c>
      <c r="E13" s="170">
        <v>1.6004999999999998E-2</v>
      </c>
      <c r="F13" s="170">
        <v>4.2978180000000005E-2</v>
      </c>
      <c r="G13" s="170">
        <v>0.42787555999999999</v>
      </c>
      <c r="H13" s="170">
        <v>0.20855358999999998</v>
      </c>
      <c r="I13" s="170">
        <v>1.9363825729999999</v>
      </c>
      <c r="J13" s="170">
        <v>1.37904005</v>
      </c>
      <c r="K13" s="170"/>
      <c r="L13" s="170">
        <v>4.0223099529999997</v>
      </c>
      <c r="M13" s="1520">
        <v>6.0513530037407406E-2</v>
      </c>
      <c r="O13" s="1496"/>
      <c r="P13" s="1496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497"/>
    </row>
    <row r="14" spans="1:27" s="169" customFormat="1" ht="14.1" customHeight="1">
      <c r="A14" s="1496"/>
      <c r="B14" s="170" t="s">
        <v>25</v>
      </c>
      <c r="C14" s="170"/>
      <c r="D14" s="1498">
        <v>0.63928571428571412</v>
      </c>
      <c r="E14" s="1498">
        <v>-5.8529411764706045E-2</v>
      </c>
      <c r="F14" s="1498">
        <v>0.71912720000000008</v>
      </c>
      <c r="G14" s="1498">
        <v>0.96273192660550455</v>
      </c>
      <c r="H14" s="1498">
        <v>0.21252087209302326</v>
      </c>
      <c r="I14" s="1498">
        <v>-0.3086816947518744</v>
      </c>
      <c r="J14" s="1498">
        <v>-0.1045194480519481</v>
      </c>
      <c r="K14" s="1498"/>
      <c r="L14" s="1498">
        <v>-0.15851256213389131</v>
      </c>
      <c r="M14" s="1519"/>
      <c r="O14" s="1496"/>
      <c r="P14" s="170"/>
      <c r="Q14" s="170"/>
      <c r="R14" s="1498"/>
      <c r="S14" s="1498"/>
      <c r="T14" s="1498"/>
      <c r="U14" s="1498"/>
      <c r="V14" s="1498"/>
      <c r="W14" s="1498"/>
      <c r="X14" s="1498"/>
      <c r="Y14" s="1498"/>
      <c r="Z14" s="1498"/>
      <c r="AA14" s="1498"/>
    </row>
    <row r="15" spans="1:27" s="169" customFormat="1" ht="14.1" customHeight="1">
      <c r="A15" s="1496">
        <v>45536</v>
      </c>
      <c r="B15" s="1496" t="s">
        <v>24</v>
      </c>
      <c r="C15" s="170"/>
      <c r="D15" s="170"/>
      <c r="E15" s="170">
        <v>1.6934999999999999E-2</v>
      </c>
      <c r="F15" s="170">
        <v>9.3577079999999993E-2</v>
      </c>
      <c r="G15" s="170">
        <v>0.45305116000000001</v>
      </c>
      <c r="H15" s="170">
        <v>0.27751031300000001</v>
      </c>
      <c r="I15" s="170">
        <v>2.0202177639999999</v>
      </c>
      <c r="J15" s="170">
        <v>1.2668178600000002</v>
      </c>
      <c r="K15" s="170"/>
      <c r="L15" s="170">
        <v>4.1281091770000007</v>
      </c>
      <c r="M15" s="1520">
        <v>6.21052235155998E-2</v>
      </c>
      <c r="O15" s="1496"/>
      <c r="P15" s="1496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497"/>
    </row>
    <row r="16" spans="1:27" s="169" customFormat="1" ht="14.1" customHeight="1">
      <c r="A16" s="1496"/>
      <c r="B16" s="170" t="s">
        <v>25</v>
      </c>
      <c r="C16" s="170"/>
      <c r="D16" s="1498"/>
      <c r="E16" s="1498">
        <v>5.8437499999999892E-2</v>
      </c>
      <c r="F16" s="1498">
        <v>0.70140145454545444</v>
      </c>
      <c r="G16" s="1498">
        <v>1.3719956020942408</v>
      </c>
      <c r="H16" s="1498">
        <v>0.10123140079365082</v>
      </c>
      <c r="I16" s="1498">
        <v>-0.21666624117875155</v>
      </c>
      <c r="J16" s="1498">
        <v>-0.20475966101694903</v>
      </c>
      <c r="K16" s="1498"/>
      <c r="L16" s="1498">
        <v>-0.11961843100874391</v>
      </c>
      <c r="M16" s="1519"/>
      <c r="O16" s="1496"/>
      <c r="P16" s="170"/>
      <c r="Q16" s="170"/>
      <c r="R16" s="1498"/>
      <c r="S16" s="1498"/>
      <c r="T16" s="1498"/>
      <c r="U16" s="1498"/>
      <c r="V16" s="1498"/>
      <c r="W16" s="1498"/>
      <c r="X16" s="1498"/>
      <c r="Y16" s="1498"/>
      <c r="Z16" s="1498"/>
      <c r="AA16" s="1498"/>
    </row>
    <row r="17" spans="1:27" s="169" customFormat="1" ht="14.1" customHeight="1">
      <c r="A17" s="1496">
        <v>45566</v>
      </c>
      <c r="B17" s="1496" t="s">
        <v>24</v>
      </c>
      <c r="C17" s="170"/>
      <c r="D17" s="170"/>
      <c r="E17" s="170">
        <v>1.7059999999999999E-2</v>
      </c>
      <c r="F17" s="170">
        <v>0.11715008</v>
      </c>
      <c r="G17" s="170">
        <v>0.41680244</v>
      </c>
      <c r="H17" s="170">
        <v>0.27736427499999999</v>
      </c>
      <c r="I17" s="170">
        <v>2.5352667450000004</v>
      </c>
      <c r="J17" s="170">
        <v>1.4157176599999999</v>
      </c>
      <c r="K17" s="170"/>
      <c r="L17" s="170">
        <v>4.7793612000000003</v>
      </c>
      <c r="M17" s="1520">
        <v>7.1902966433531723E-2</v>
      </c>
      <c r="O17" s="1496"/>
      <c r="P17" s="1496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497"/>
    </row>
    <row r="18" spans="1:27" s="169" customFormat="1" ht="14.1" customHeight="1">
      <c r="A18" s="1496"/>
      <c r="B18" s="170" t="s">
        <v>25</v>
      </c>
      <c r="C18" s="170"/>
      <c r="D18" s="1498"/>
      <c r="E18" s="1498">
        <v>6.6249999999999906E-2</v>
      </c>
      <c r="F18" s="1498">
        <v>0.34655264367816108</v>
      </c>
      <c r="G18" s="1498">
        <v>0.49391555555555539</v>
      </c>
      <c r="H18" s="1498">
        <v>-0.13323664062500004</v>
      </c>
      <c r="I18" s="1498">
        <v>-0.11074474044195005</v>
      </c>
      <c r="J18" s="1498">
        <v>-1.8906680526680653E-2</v>
      </c>
      <c r="K18" s="1498"/>
      <c r="L18" s="1498">
        <v>-4.3362449959967998E-2</v>
      </c>
      <c r="M18" s="1519"/>
      <c r="O18" s="1496"/>
      <c r="P18" s="170"/>
      <c r="Q18" s="170"/>
      <c r="R18" s="1498"/>
      <c r="S18" s="1498"/>
      <c r="T18" s="1498"/>
      <c r="U18" s="1498"/>
      <c r="V18" s="1498"/>
      <c r="W18" s="1498"/>
      <c r="X18" s="1498"/>
      <c r="Y18" s="1498"/>
      <c r="Z18" s="1498"/>
      <c r="AA18" s="1498"/>
    </row>
    <row r="19" spans="1:27" s="169" customFormat="1" ht="14.1" customHeight="1">
      <c r="A19" s="1496">
        <v>45597</v>
      </c>
      <c r="B19" s="1496" t="s">
        <v>24</v>
      </c>
      <c r="C19" s="170"/>
      <c r="D19" s="170"/>
      <c r="E19" s="170">
        <v>1.7690000000000001E-2</v>
      </c>
      <c r="F19" s="170">
        <v>0.15981056000000002</v>
      </c>
      <c r="G19" s="170">
        <v>0.35072598999999999</v>
      </c>
      <c r="H19" s="170">
        <v>0.29352281800000002</v>
      </c>
      <c r="I19" s="170">
        <v>2.8716390359999999</v>
      </c>
      <c r="J19" s="170">
        <v>1.6951147599999998</v>
      </c>
      <c r="K19" s="170">
        <v>0.11069686999999999</v>
      </c>
      <c r="L19" s="170">
        <v>5.4992000340000002</v>
      </c>
      <c r="M19" s="1520">
        <v>8.2732561718913078E-2</v>
      </c>
      <c r="O19" s="1496"/>
      <c r="P19" s="1496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497"/>
    </row>
    <row r="20" spans="1:27" s="169" customFormat="1" ht="14.1" customHeight="1">
      <c r="A20" s="1496"/>
      <c r="B20" s="170" t="s">
        <v>25</v>
      </c>
      <c r="C20" s="170"/>
      <c r="D20" s="1498"/>
      <c r="E20" s="1498">
        <v>0.10562500000000002</v>
      </c>
      <c r="F20" s="1498">
        <v>-5.9937882352941139E-2</v>
      </c>
      <c r="G20" s="1498">
        <v>0.34894611538461529</v>
      </c>
      <c r="H20" s="1498">
        <v>-0.2643538395989975</v>
      </c>
      <c r="I20" s="1498">
        <v>-3.5067528225806471E-2</v>
      </c>
      <c r="J20" s="1498">
        <v>-6.6052473829201166E-2</v>
      </c>
      <c r="K20" s="1498"/>
      <c r="L20" s="1498">
        <v>-2.5137380960822509E-2</v>
      </c>
      <c r="M20" s="1519"/>
      <c r="O20" s="1496"/>
      <c r="P20" s="170"/>
      <c r="Q20" s="170"/>
      <c r="R20" s="1498"/>
      <c r="S20" s="1498"/>
      <c r="T20" s="1498"/>
      <c r="U20" s="1498"/>
      <c r="V20" s="1498"/>
      <c r="W20" s="1498"/>
      <c r="X20" s="1498"/>
      <c r="Y20" s="1498"/>
      <c r="Z20" s="1498"/>
      <c r="AA20" s="1498"/>
    </row>
    <row r="21" spans="1:27" s="169" customFormat="1" ht="14.1" customHeight="1">
      <c r="A21" s="1496">
        <v>45627</v>
      </c>
      <c r="B21" s="1496" t="s">
        <v>24</v>
      </c>
      <c r="C21" s="170"/>
      <c r="D21" s="170">
        <v>5.0000000000000001E-4</v>
      </c>
      <c r="E21" s="170">
        <v>2.2005E-2</v>
      </c>
      <c r="F21" s="170">
        <v>0.22333407999999999</v>
      </c>
      <c r="G21" s="170">
        <v>0.36619153999999998</v>
      </c>
      <c r="H21" s="170">
        <v>0.40680285799999993</v>
      </c>
      <c r="I21" s="170">
        <v>2.8071787399999999</v>
      </c>
      <c r="J21" s="170">
        <v>1.9846061499999998</v>
      </c>
      <c r="K21" s="170"/>
      <c r="L21" s="170">
        <v>5.8106183680000001</v>
      </c>
      <c r="M21" s="1520">
        <v>8.7417686169517145E-2</v>
      </c>
      <c r="O21" s="1496"/>
      <c r="P21" s="1496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497"/>
    </row>
    <row r="22" spans="1:27" s="169" customFormat="1" ht="14.1" customHeight="1">
      <c r="A22" s="1496"/>
      <c r="B22" s="170" t="s">
        <v>25</v>
      </c>
      <c r="C22" s="170"/>
      <c r="D22" s="1498">
        <v>-0.83333333333333337</v>
      </c>
      <c r="E22" s="1498">
        <v>0.22250000000000011</v>
      </c>
      <c r="F22" s="1498">
        <v>0.1166703999999999</v>
      </c>
      <c r="G22" s="1498">
        <v>0.10631885196374612</v>
      </c>
      <c r="H22" s="1498">
        <v>-0.16123122061855683</v>
      </c>
      <c r="I22" s="1498">
        <v>4.1624764378478687E-2</v>
      </c>
      <c r="J22" s="1498">
        <v>-7.4775687645687719E-2</v>
      </c>
      <c r="K22" s="1498"/>
      <c r="L22" s="1498">
        <v>-1.3142260869565185E-2</v>
      </c>
      <c r="M22" s="1519"/>
      <c r="O22" s="1496"/>
      <c r="P22" s="170"/>
      <c r="Q22" s="170"/>
      <c r="R22" s="1498"/>
      <c r="S22" s="1498"/>
      <c r="T22" s="1498"/>
      <c r="U22" s="1498"/>
      <c r="V22" s="1498"/>
      <c r="W22" s="1498"/>
      <c r="X22" s="1498"/>
      <c r="Y22" s="1498"/>
      <c r="Z22" s="1498"/>
      <c r="AA22" s="1498"/>
    </row>
    <row r="23" spans="1:27" s="169" customFormat="1" ht="14.1" customHeight="1">
      <c r="A23" s="1496">
        <v>45658</v>
      </c>
      <c r="B23" s="1496" t="s">
        <v>24</v>
      </c>
      <c r="C23" s="170"/>
      <c r="D23" s="170">
        <v>2.5624999999999998E-2</v>
      </c>
      <c r="E23" s="170">
        <v>2.1815000000000001E-2</v>
      </c>
      <c r="F23" s="170">
        <v>0.24511054999999998</v>
      </c>
      <c r="G23" s="170">
        <v>0.18805253999999999</v>
      </c>
      <c r="H23" s="170">
        <v>0.66189786399999995</v>
      </c>
      <c r="I23" s="170">
        <v>3.2220651029999998</v>
      </c>
      <c r="J23" s="170">
        <v>1.9830890800000001</v>
      </c>
      <c r="K23" s="170"/>
      <c r="L23" s="170">
        <v>6.3476551369999994</v>
      </c>
      <c r="M23" s="1520">
        <v>9.5497120880369143E-2</v>
      </c>
      <c r="O23" s="1496"/>
      <c r="P23" s="1496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497"/>
    </row>
    <row r="24" spans="1:27" s="169" customFormat="1" ht="14.1" customHeight="1">
      <c r="A24" s="1496"/>
      <c r="B24" s="170" t="s">
        <v>25</v>
      </c>
      <c r="C24" s="170"/>
      <c r="D24" s="1498">
        <v>1.1354166666666665</v>
      </c>
      <c r="E24" s="1498">
        <v>0.14815789473684218</v>
      </c>
      <c r="F24" s="1498">
        <v>0.30377952127659563</v>
      </c>
      <c r="G24" s="1498">
        <v>-0.51027984375000002</v>
      </c>
      <c r="H24" s="1498">
        <v>0.28523857087378629</v>
      </c>
      <c r="I24" s="1498">
        <v>-2.4798697639225185E-2</v>
      </c>
      <c r="J24" s="1498">
        <v>7.2519783666846985E-2</v>
      </c>
      <c r="K24" s="1498"/>
      <c r="L24" s="1498">
        <v>-7.4034187646599197E-3</v>
      </c>
      <c r="M24" s="1519"/>
      <c r="O24" s="1496"/>
      <c r="P24" s="170"/>
      <c r="Q24" s="170"/>
      <c r="R24" s="1498"/>
      <c r="S24" s="1498"/>
      <c r="T24" s="1498"/>
      <c r="U24" s="1498"/>
      <c r="V24" s="1498"/>
      <c r="W24" s="1498"/>
      <c r="X24" s="1498"/>
      <c r="Y24" s="1498"/>
      <c r="Z24" s="1498"/>
      <c r="AA24" s="1498"/>
    </row>
    <row r="25" spans="1:27" s="169" customFormat="1" ht="14.1" customHeight="1">
      <c r="A25" s="1496">
        <v>45689</v>
      </c>
      <c r="B25" s="1496" t="s">
        <v>24</v>
      </c>
      <c r="C25" s="170"/>
      <c r="D25" s="170">
        <v>7.3900000000000007E-2</v>
      </c>
      <c r="E25" s="170">
        <v>1.9335000000000001E-2</v>
      </c>
      <c r="F25" s="170">
        <v>0.23733636000000002</v>
      </c>
      <c r="G25" s="170">
        <v>0.20730690000000002</v>
      </c>
      <c r="H25" s="170">
        <v>0.59834356699999991</v>
      </c>
      <c r="I25" s="170">
        <v>3.7523594279999997</v>
      </c>
      <c r="J25" s="170">
        <v>1.4988236499999998</v>
      </c>
      <c r="K25" s="170"/>
      <c r="L25" s="170">
        <v>6.3874049050000004</v>
      </c>
      <c r="M25" s="1520">
        <v>9.6095135157725858E-2</v>
      </c>
      <c r="O25" s="1496"/>
      <c r="P25" s="1496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497"/>
    </row>
    <row r="26" spans="1:27" s="169" customFormat="1" ht="14.1" customHeight="1">
      <c r="A26" s="1496"/>
      <c r="B26" s="170" t="s">
        <v>25</v>
      </c>
      <c r="C26" s="170"/>
      <c r="D26" s="1498">
        <v>72.900000000000006</v>
      </c>
      <c r="E26" s="1498">
        <v>1.7631578947368526E-2</v>
      </c>
      <c r="F26" s="1498">
        <v>0.11951113207547184</v>
      </c>
      <c r="G26" s="1498">
        <v>-0.32473322475570027</v>
      </c>
      <c r="H26" s="1498">
        <v>-0.26852864669926657</v>
      </c>
      <c r="I26" s="1498">
        <v>0.12044175216482515</v>
      </c>
      <c r="J26" s="1498">
        <v>-3.2392737249838668E-2</v>
      </c>
      <c r="K26" s="1498"/>
      <c r="L26" s="1498">
        <v>-7.7046908497745903E-3</v>
      </c>
      <c r="M26" s="1519"/>
      <c r="O26" s="1496"/>
      <c r="P26" s="170"/>
      <c r="Q26" s="170"/>
      <c r="R26" s="1498"/>
      <c r="S26" s="1498"/>
      <c r="T26" s="1498"/>
      <c r="U26" s="1498"/>
      <c r="V26" s="1498"/>
      <c r="W26" s="1498"/>
      <c r="X26" s="1498"/>
      <c r="Y26" s="1498"/>
      <c r="Z26" s="1498"/>
      <c r="AA26" s="1498"/>
    </row>
    <row r="27" spans="1:27" s="169" customFormat="1" ht="14.1" customHeight="1">
      <c r="A27" s="1496">
        <v>45717</v>
      </c>
      <c r="B27" s="1496" t="s">
        <v>24</v>
      </c>
      <c r="C27" s="170"/>
      <c r="D27" s="170">
        <v>2.8250000000000001E-2</v>
      </c>
      <c r="E27" s="170">
        <v>2.4840000000000001E-2</v>
      </c>
      <c r="F27" s="170">
        <v>0.21615751000000002</v>
      </c>
      <c r="G27" s="170">
        <v>0.64709800999999989</v>
      </c>
      <c r="H27" s="170">
        <v>0.753571616</v>
      </c>
      <c r="I27" s="170">
        <v>4.6643857889999998</v>
      </c>
      <c r="J27" s="170">
        <v>2.4271899100000001</v>
      </c>
      <c r="K27" s="170"/>
      <c r="L27" s="170">
        <v>8.7614928349999985</v>
      </c>
      <c r="M27" s="1520">
        <v>0.13181203488504561</v>
      </c>
      <c r="O27" s="1496"/>
      <c r="P27" s="1496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497"/>
    </row>
    <row r="28" spans="1:27" s="169" customFormat="1" ht="14.1" customHeight="1">
      <c r="A28" s="1496"/>
      <c r="B28" s="170" t="s">
        <v>25</v>
      </c>
      <c r="C28" s="170"/>
      <c r="D28" s="1498">
        <v>4.6499999999999995</v>
      </c>
      <c r="E28" s="1498">
        <v>0.1290909090909092</v>
      </c>
      <c r="F28" s="1498">
        <v>-3.5011116071428483E-2</v>
      </c>
      <c r="G28" s="1498">
        <v>0.70738261213720288</v>
      </c>
      <c r="H28" s="1498">
        <v>-9.751902275449098E-2</v>
      </c>
      <c r="I28" s="1498">
        <v>9.6728377380672387E-2</v>
      </c>
      <c r="J28" s="1498">
        <v>0.1892160264576189</v>
      </c>
      <c r="K28" s="1498"/>
      <c r="L28" s="1498">
        <v>0.10652852172265703</v>
      </c>
      <c r="M28" s="1519"/>
      <c r="O28" s="1496"/>
      <c r="P28" s="170"/>
      <c r="Q28" s="170"/>
      <c r="R28" s="1498"/>
      <c r="S28" s="1498"/>
      <c r="T28" s="1498"/>
      <c r="U28" s="1498"/>
      <c r="V28" s="1498"/>
      <c r="W28" s="1498"/>
      <c r="X28" s="1498"/>
      <c r="Y28" s="1498"/>
      <c r="Z28" s="1498"/>
      <c r="AA28" s="1498"/>
    </row>
    <row r="29" spans="1:27" s="169" customFormat="1" ht="14.1" customHeight="1">
      <c r="A29" s="169" t="s">
        <v>76</v>
      </c>
      <c r="B29" s="1496" t="s">
        <v>24</v>
      </c>
      <c r="C29" s="170"/>
      <c r="D29" s="170">
        <v>0.15332499999999999</v>
      </c>
      <c r="E29" s="170">
        <v>0.22267000000000001</v>
      </c>
      <c r="F29" s="170">
        <v>1.5995553300000001</v>
      </c>
      <c r="G29" s="170">
        <v>5.0818203599999991</v>
      </c>
      <c r="H29" s="170">
        <v>5.1809716110000004</v>
      </c>
      <c r="I29" s="170">
        <v>34.312074232000001</v>
      </c>
      <c r="J29" s="170">
        <v>19.808483569999996</v>
      </c>
      <c r="K29" s="170">
        <v>0.11069686999999999</v>
      </c>
      <c r="L29" s="170">
        <v>66.469596972999994</v>
      </c>
      <c r="M29" s="1520">
        <v>1</v>
      </c>
      <c r="P29" s="1496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497"/>
    </row>
    <row r="30" spans="1:27" s="169" customFormat="1" ht="14.1" customHeight="1" thickBot="1">
      <c r="A30" s="226"/>
      <c r="B30" s="227" t="s">
        <v>25</v>
      </c>
      <c r="C30" s="1521"/>
      <c r="D30" s="1521">
        <v>0.56454081632653019</v>
      </c>
      <c r="E30" s="1522">
        <v>3.0879629629629805E-2</v>
      </c>
      <c r="F30" s="1522">
        <v>0.30363107579462123</v>
      </c>
      <c r="G30" s="1522">
        <v>0.47856280477160318</v>
      </c>
      <c r="H30" s="1522">
        <v>0.126298176304348</v>
      </c>
      <c r="I30" s="1522">
        <v>-3.4876399864986279E-2</v>
      </c>
      <c r="J30" s="1522">
        <v>-6.6210174421345455E-2</v>
      </c>
      <c r="K30" s="1522">
        <v>-0.76841658995815898</v>
      </c>
      <c r="L30" s="1522">
        <v>-5.2588711183610467E-3</v>
      </c>
      <c r="M30" s="1523"/>
      <c r="N30" s="171"/>
      <c r="O30" s="171"/>
      <c r="P30" s="205"/>
      <c r="Q30" s="1499"/>
      <c r="R30" s="1499"/>
      <c r="S30" s="1498"/>
      <c r="T30" s="1498"/>
      <c r="U30" s="1498"/>
      <c r="V30" s="1498"/>
      <c r="W30" s="1498"/>
      <c r="X30" s="1498"/>
      <c r="Y30" s="1498"/>
      <c r="Z30" s="1498"/>
      <c r="AA30" s="1498"/>
    </row>
  </sheetData>
  <mergeCells count="2">
    <mergeCell ref="A1:M1"/>
    <mergeCell ref="A2:M2"/>
  </mergeCells>
  <printOptions horizontalCentered="1"/>
  <pageMargins left="0.31496062992125984" right="0.23622047244094491" top="0.59055118110236227" bottom="0.39370078740157483" header="0.19685039370078741" footer="0.19685039370078741"/>
  <pageSetup paperSize="9" scale="90" firstPageNumber="11" orientation="portrait" useFirstPageNumber="1" r:id="rId1"/>
  <headerFooter scaleWithDoc="0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rgb="FF00B050"/>
  </sheetPr>
  <dimension ref="A1:AS30"/>
  <sheetViews>
    <sheetView tabSelected="1" zoomScaleNormal="100" zoomScaleSheetLayoutView="100" workbookViewId="0">
      <pane xSplit="2" ySplit="4" topLeftCell="C5" activePane="bottomRight" state="frozen"/>
      <selection activeCell="J69" sqref="J69"/>
      <selection pane="topRight" activeCell="J69" sqref="J69"/>
      <selection pane="bottomLeft" activeCell="J69" sqref="J69"/>
      <selection pane="bottomRight" activeCell="D8" sqref="D8"/>
    </sheetView>
  </sheetViews>
  <sheetFormatPr defaultColWidth="9.140625" defaultRowHeight="12.75"/>
  <cols>
    <col min="1" max="1" width="6.28515625" style="171" customWidth="1"/>
    <col min="2" max="2" width="8.28515625" style="171" bestFit="1" customWidth="1"/>
    <col min="3" max="3" width="9" style="205" bestFit="1" customWidth="1"/>
    <col min="4" max="4" width="10" style="205" customWidth="1"/>
    <col min="5" max="5" width="8.5703125" style="223" customWidth="1"/>
    <col min="6" max="7" width="7.5703125" style="205" customWidth="1"/>
    <col min="8" max="8" width="8.28515625" style="223" bestFit="1" customWidth="1"/>
    <col min="9" max="10" width="7.5703125" style="205" customWidth="1"/>
    <col min="11" max="12" width="7.5703125" style="223" customWidth="1"/>
    <col min="13" max="13" width="8.140625" style="223" customWidth="1"/>
    <col min="14" max="17" width="7.5703125" style="223" customWidth="1"/>
    <col min="18" max="18" width="9" style="223" bestFit="1" customWidth="1"/>
    <col min="19" max="19" width="9.28515625" style="223" customWidth="1"/>
    <col min="20" max="20" width="7.5703125" style="223" customWidth="1"/>
    <col min="21" max="21" width="8" style="1418" customWidth="1"/>
    <col min="22" max="22" width="7.140625" style="221" customWidth="1"/>
    <col min="23" max="24" width="9.140625" style="171"/>
    <col min="25" max="25" width="9.140625" style="205"/>
    <col min="26" max="16384" width="9.140625" style="171"/>
  </cols>
  <sheetData>
    <row r="1" spans="1:45" ht="19.149999999999999" customHeight="1">
      <c r="A1" s="1572" t="s">
        <v>549</v>
      </c>
      <c r="B1" s="1573"/>
      <c r="C1" s="1573"/>
      <c r="D1" s="1573"/>
      <c r="E1" s="1573"/>
      <c r="F1" s="1573"/>
      <c r="G1" s="1573"/>
      <c r="H1" s="1573"/>
      <c r="I1" s="1573"/>
      <c r="J1" s="1573"/>
      <c r="K1" s="1573"/>
      <c r="L1" s="1573"/>
      <c r="M1" s="1573"/>
      <c r="N1" s="1573"/>
      <c r="O1" s="1573"/>
      <c r="P1" s="1573"/>
      <c r="Q1" s="1573"/>
      <c r="R1" s="1573"/>
      <c r="S1" s="1573"/>
      <c r="T1" s="1573"/>
      <c r="U1" s="1573"/>
      <c r="V1" s="1574"/>
    </row>
    <row r="2" spans="1:45" s="162" customFormat="1" ht="15.75" customHeight="1">
      <c r="A2" s="1762" t="s">
        <v>417</v>
      </c>
      <c r="B2" s="1763"/>
      <c r="C2" s="1763"/>
      <c r="D2" s="1763"/>
      <c r="E2" s="1763"/>
      <c r="F2" s="1763"/>
      <c r="G2" s="1763"/>
      <c r="H2" s="1763"/>
      <c r="I2" s="1763"/>
      <c r="J2" s="1763"/>
      <c r="K2" s="1763"/>
      <c r="L2" s="1763"/>
      <c r="M2" s="1763"/>
      <c r="N2" s="1763"/>
      <c r="O2" s="1763"/>
      <c r="P2" s="1763"/>
      <c r="Q2" s="1763"/>
      <c r="R2" s="1763"/>
      <c r="S2" s="1763"/>
      <c r="T2" s="1763"/>
      <c r="U2" s="1763"/>
      <c r="V2" s="1764"/>
    </row>
    <row r="3" spans="1:45" s="168" customFormat="1" ht="29.25" customHeight="1">
      <c r="A3" s="1146" t="s">
        <v>316</v>
      </c>
      <c r="B3" s="1192" t="s">
        <v>507</v>
      </c>
      <c r="C3" s="1177" t="s">
        <v>230</v>
      </c>
      <c r="D3" s="1177" t="s">
        <v>231</v>
      </c>
      <c r="E3" s="1177" t="s">
        <v>232</v>
      </c>
      <c r="F3" s="1177" t="s">
        <v>233</v>
      </c>
      <c r="G3" s="1177" t="s">
        <v>234</v>
      </c>
      <c r="H3" s="1177" t="s">
        <v>235</v>
      </c>
      <c r="I3" s="1177" t="s">
        <v>236</v>
      </c>
      <c r="J3" s="1177" t="s">
        <v>237</v>
      </c>
      <c r="K3" s="1177" t="s">
        <v>238</v>
      </c>
      <c r="L3" s="1177" t="s">
        <v>239</v>
      </c>
      <c r="M3" s="1177" t="s">
        <v>240</v>
      </c>
      <c r="N3" s="1177" t="s">
        <v>241</v>
      </c>
      <c r="O3" s="1177" t="s">
        <v>242</v>
      </c>
      <c r="P3" s="1177" t="s">
        <v>243</v>
      </c>
      <c r="Q3" s="1177" t="s">
        <v>244</v>
      </c>
      <c r="R3" s="1177" t="s">
        <v>245</v>
      </c>
      <c r="S3" s="1177" t="s">
        <v>246</v>
      </c>
      <c r="T3" s="1177" t="s">
        <v>73</v>
      </c>
      <c r="U3" s="1220" t="s">
        <v>482</v>
      </c>
      <c r="V3" s="1419" t="s">
        <v>537</v>
      </c>
    </row>
    <row r="4" spans="1:45" ht="17.649999999999999" customHeight="1">
      <c r="A4" s="1122" t="s">
        <v>162</v>
      </c>
      <c r="B4" s="946" t="s">
        <v>163</v>
      </c>
      <c r="C4" s="946" t="s">
        <v>164</v>
      </c>
      <c r="D4" s="946" t="s">
        <v>165</v>
      </c>
      <c r="E4" s="946" t="s">
        <v>166</v>
      </c>
      <c r="F4" s="946" t="s">
        <v>167</v>
      </c>
      <c r="G4" s="946" t="s">
        <v>168</v>
      </c>
      <c r="H4" s="946" t="s">
        <v>169</v>
      </c>
      <c r="I4" s="946" t="s">
        <v>170</v>
      </c>
      <c r="J4" s="946" t="s">
        <v>171</v>
      </c>
      <c r="K4" s="946" t="s">
        <v>172</v>
      </c>
      <c r="L4" s="946" t="s">
        <v>173</v>
      </c>
      <c r="M4" s="946" t="s">
        <v>174</v>
      </c>
      <c r="N4" s="946" t="s">
        <v>175</v>
      </c>
      <c r="O4" s="946" t="s">
        <v>176</v>
      </c>
      <c r="P4" s="946" t="s">
        <v>177</v>
      </c>
      <c r="Q4" s="946" t="s">
        <v>178</v>
      </c>
      <c r="R4" s="946" t="s">
        <v>179</v>
      </c>
      <c r="S4" s="946" t="s">
        <v>181</v>
      </c>
      <c r="T4" s="946" t="s">
        <v>182</v>
      </c>
      <c r="U4" s="946" t="s">
        <v>182</v>
      </c>
      <c r="V4" s="1250" t="s">
        <v>183</v>
      </c>
    </row>
    <row r="5" spans="1:45" s="1249" customFormat="1" ht="21" customHeight="1">
      <c r="A5" s="1490">
        <v>45383</v>
      </c>
      <c r="B5" s="1490" t="s">
        <v>24</v>
      </c>
      <c r="C5" s="1409">
        <v>6.0348399999999996E-3</v>
      </c>
      <c r="D5" s="1409">
        <v>1.5117059999999998E-2</v>
      </c>
      <c r="E5" s="1409">
        <v>0.20580399600000002</v>
      </c>
      <c r="F5" s="1409">
        <v>1.5986762269999997</v>
      </c>
      <c r="G5" s="1409">
        <v>0.60881079100000013</v>
      </c>
      <c r="H5" s="1409">
        <v>0.80504388999999998</v>
      </c>
      <c r="I5" s="1409">
        <v>4.8826523900000014</v>
      </c>
      <c r="J5" s="1409">
        <v>6.136027874999999</v>
      </c>
      <c r="K5" s="1409">
        <v>5.19983006</v>
      </c>
      <c r="L5" s="1409">
        <v>6.1281000099999989</v>
      </c>
      <c r="M5" s="1409">
        <v>20.276271588999997</v>
      </c>
      <c r="N5" s="1409">
        <v>11.71297053</v>
      </c>
      <c r="O5" s="1409">
        <v>8.3667191109999983</v>
      </c>
      <c r="P5" s="1409">
        <v>5.6207834249999999</v>
      </c>
      <c r="Q5" s="1409">
        <v>1.400744309</v>
      </c>
      <c r="R5" s="1409">
        <v>3.4578493000000002E-2</v>
      </c>
      <c r="S5" s="1409">
        <v>0.36008577000000003</v>
      </c>
      <c r="T5" s="1409">
        <v>2.3079699999999999E-3</v>
      </c>
      <c r="U5" s="1409">
        <v>73.360558335999997</v>
      </c>
      <c r="V5" s="1527">
        <v>7.4777354740268198E-2</v>
      </c>
      <c r="X5" s="1490"/>
      <c r="Y5" s="1490"/>
      <c r="Z5" s="1409"/>
      <c r="AA5" s="1409"/>
      <c r="AB5" s="1409"/>
      <c r="AC5" s="1409"/>
      <c r="AD5" s="1409"/>
      <c r="AE5" s="1409"/>
      <c r="AF5" s="1409"/>
      <c r="AG5" s="1409"/>
      <c r="AH5" s="1409"/>
      <c r="AI5" s="1409"/>
      <c r="AJ5" s="1409"/>
      <c r="AK5" s="1409"/>
      <c r="AL5" s="1409"/>
      <c r="AM5" s="1409"/>
      <c r="AN5" s="1409"/>
      <c r="AO5" s="1409"/>
      <c r="AP5" s="1409"/>
      <c r="AQ5" s="1409"/>
      <c r="AR5" s="1409"/>
      <c r="AS5" s="1491"/>
    </row>
    <row r="6" spans="1:45" s="1249" customFormat="1" ht="21" customHeight="1">
      <c r="A6" s="1490"/>
      <c r="B6" s="1409" t="s">
        <v>25</v>
      </c>
      <c r="C6" s="1492"/>
      <c r="D6" s="1492">
        <v>14.117059999999997</v>
      </c>
      <c r="E6" s="1492">
        <v>1.6727791688311693</v>
      </c>
      <c r="F6" s="1492">
        <v>0.24701733775350987</v>
      </c>
      <c r="G6" s="1492">
        <v>-0.26204752606060588</v>
      </c>
      <c r="H6" s="1492">
        <v>0.45577556962025301</v>
      </c>
      <c r="I6" s="1492">
        <v>0.31714388724035653</v>
      </c>
      <c r="J6" s="1492">
        <v>0.30999741140051212</v>
      </c>
      <c r="K6" s="1492">
        <v>0.20645709048723909</v>
      </c>
      <c r="L6" s="1492">
        <v>6.7427279219648029E-2</v>
      </c>
      <c r="M6" s="1492">
        <v>-1.38479845824621E-2</v>
      </c>
      <c r="N6" s="1492">
        <v>0.57305540290088641</v>
      </c>
      <c r="O6" s="1492">
        <v>-2.0749167720037705E-2</v>
      </c>
      <c r="P6" s="1492">
        <v>-0.25905834102293701</v>
      </c>
      <c r="Q6" s="1492">
        <v>-0.49776109394048046</v>
      </c>
      <c r="R6" s="1492">
        <v>-0.91419728784119114</v>
      </c>
      <c r="S6" s="1492">
        <v>14.003573749999999</v>
      </c>
      <c r="T6" s="1492"/>
      <c r="U6" s="1492">
        <v>7.0441368917163932E-2</v>
      </c>
      <c r="V6" s="1528"/>
      <c r="X6" s="1490"/>
      <c r="Y6" s="1409"/>
      <c r="Z6" s="1492"/>
      <c r="AA6" s="1492"/>
      <c r="AB6" s="1492"/>
      <c r="AC6" s="1492"/>
      <c r="AD6" s="1492"/>
      <c r="AE6" s="1492"/>
      <c r="AF6" s="1492"/>
      <c r="AG6" s="1492"/>
      <c r="AH6" s="1492"/>
      <c r="AI6" s="1492"/>
      <c r="AJ6" s="1492"/>
      <c r="AK6" s="1492"/>
      <c r="AL6" s="1492"/>
      <c r="AM6" s="1492"/>
      <c r="AN6" s="1492"/>
      <c r="AO6" s="1492"/>
      <c r="AP6" s="1492"/>
      <c r="AQ6" s="1492"/>
      <c r="AR6" s="1492"/>
      <c r="AS6" s="1491"/>
    </row>
    <row r="7" spans="1:45" s="1249" customFormat="1" ht="21" customHeight="1">
      <c r="A7" s="1490">
        <v>45413</v>
      </c>
      <c r="B7" s="1490" t="s">
        <v>24</v>
      </c>
      <c r="C7" s="1409">
        <v>2.4018500000000001E-3</v>
      </c>
      <c r="D7" s="1409">
        <v>7.9487099999999995E-3</v>
      </c>
      <c r="E7" s="1409">
        <v>0.183324932</v>
      </c>
      <c r="F7" s="1409">
        <v>1.591240569</v>
      </c>
      <c r="G7" s="1409">
        <v>0.58777564700000007</v>
      </c>
      <c r="H7" s="1409">
        <v>0.57921928999999994</v>
      </c>
      <c r="I7" s="1409">
        <v>5.658160800000001</v>
      </c>
      <c r="J7" s="1409">
        <v>6.2806589149999992</v>
      </c>
      <c r="K7" s="1409">
        <v>5.8260961</v>
      </c>
      <c r="L7" s="1409">
        <v>5.99779836</v>
      </c>
      <c r="M7" s="1409">
        <v>20.713806796999993</v>
      </c>
      <c r="N7" s="1409">
        <v>11.809075479999997</v>
      </c>
      <c r="O7" s="1409">
        <v>8.3485065899999995</v>
      </c>
      <c r="P7" s="1409">
        <v>8.4607351600000005</v>
      </c>
      <c r="Q7" s="1409">
        <v>1.6377108099999995</v>
      </c>
      <c r="R7" s="1409">
        <v>9.3577260000000002E-3</v>
      </c>
      <c r="S7" s="1409">
        <v>0.69580730999999996</v>
      </c>
      <c r="T7" s="1409">
        <v>1.339979E-2</v>
      </c>
      <c r="U7" s="1409">
        <v>78.403024835999986</v>
      </c>
      <c r="V7" s="1528">
        <v>7.9917205291969676E-2</v>
      </c>
      <c r="X7" s="1490"/>
      <c r="Y7" s="1490"/>
      <c r="Z7" s="1409"/>
      <c r="AA7" s="1409"/>
      <c r="AB7" s="1409"/>
      <c r="AC7" s="1409"/>
      <c r="AD7" s="1409"/>
      <c r="AE7" s="1409"/>
      <c r="AF7" s="1409"/>
      <c r="AG7" s="1409"/>
      <c r="AH7" s="1409"/>
      <c r="AI7" s="1409"/>
      <c r="AJ7" s="1409"/>
      <c r="AK7" s="1409"/>
      <c r="AL7" s="1409"/>
      <c r="AM7" s="1409"/>
      <c r="AN7" s="1409"/>
      <c r="AO7" s="1409"/>
      <c r="AP7" s="1409"/>
      <c r="AQ7" s="1409"/>
      <c r="AR7" s="1409"/>
      <c r="AS7" s="1491"/>
    </row>
    <row r="8" spans="1:45" s="1249" customFormat="1" ht="21" customHeight="1">
      <c r="A8" s="1490"/>
      <c r="B8" s="1409" t="s">
        <v>25</v>
      </c>
      <c r="C8" s="1492">
        <v>0.20092500000000002</v>
      </c>
      <c r="D8" s="1492">
        <v>6.9487099999999993</v>
      </c>
      <c r="E8" s="1492">
        <v>0.3188844028776977</v>
      </c>
      <c r="F8" s="1492">
        <v>0.2287571961389962</v>
      </c>
      <c r="G8" s="1492">
        <v>-0.31733374332171882</v>
      </c>
      <c r="H8" s="1492">
        <v>-1.3460517241379619E-3</v>
      </c>
      <c r="I8" s="1492">
        <v>0.25458110864745037</v>
      </c>
      <c r="J8" s="1492">
        <v>0.27448435775162322</v>
      </c>
      <c r="K8" s="1492">
        <v>0.32531758416742496</v>
      </c>
      <c r="L8" s="1492">
        <v>5.0954680217277053E-2</v>
      </c>
      <c r="M8" s="1492">
        <v>-3.1374562298477722E-3</v>
      </c>
      <c r="N8" s="1492">
        <v>0.52198420930532241</v>
      </c>
      <c r="O8" s="1492">
        <v>-8.439278460188647E-2</v>
      </c>
      <c r="P8" s="1492">
        <v>2.0472218067784355E-2</v>
      </c>
      <c r="Q8" s="1492">
        <v>-0.25218684474885866</v>
      </c>
      <c r="R8" s="1492">
        <v>-0.98074541975308638</v>
      </c>
      <c r="S8" s="1492">
        <v>3.1417101785714281</v>
      </c>
      <c r="T8" s="1492"/>
      <c r="U8" s="1492">
        <v>0.10101144271871897</v>
      </c>
      <c r="V8" s="1528"/>
      <c r="X8" s="1490"/>
      <c r="Y8" s="1409"/>
      <c r="Z8" s="1492"/>
      <c r="AA8" s="1492"/>
      <c r="AB8" s="1492"/>
      <c r="AC8" s="1492"/>
      <c r="AD8" s="1492"/>
      <c r="AE8" s="1492"/>
      <c r="AF8" s="1492"/>
      <c r="AG8" s="1492"/>
      <c r="AH8" s="1492"/>
      <c r="AI8" s="1492"/>
      <c r="AJ8" s="1492"/>
      <c r="AK8" s="1492"/>
      <c r="AL8" s="1492"/>
      <c r="AM8" s="1492"/>
      <c r="AN8" s="1492"/>
      <c r="AO8" s="1492"/>
      <c r="AP8" s="1492"/>
      <c r="AQ8" s="1492"/>
      <c r="AR8" s="1492"/>
      <c r="AS8" s="1491"/>
    </row>
    <row r="9" spans="1:45" s="1249" customFormat="1" ht="21" customHeight="1">
      <c r="A9" s="1490">
        <v>45444</v>
      </c>
      <c r="B9" s="1490" t="s">
        <v>24</v>
      </c>
      <c r="C9" s="1409">
        <v>9.9746599999999998E-3</v>
      </c>
      <c r="D9" s="1409">
        <v>7.9700000000000007E-4</v>
      </c>
      <c r="E9" s="1409">
        <v>0.17286496600000001</v>
      </c>
      <c r="F9" s="1409">
        <v>1.537404357</v>
      </c>
      <c r="G9" s="1409">
        <v>0.62711736900000004</v>
      </c>
      <c r="H9" s="1409">
        <v>0.75921034999999992</v>
      </c>
      <c r="I9" s="1409">
        <v>5.3467191899999991</v>
      </c>
      <c r="J9" s="1409">
        <v>5.9508286350000006</v>
      </c>
      <c r="K9" s="1409">
        <v>6.2387966299999995</v>
      </c>
      <c r="L9" s="1409">
        <v>7.4775512700000002</v>
      </c>
      <c r="M9" s="1409">
        <v>18.270838599999998</v>
      </c>
      <c r="N9" s="1409">
        <v>11.87367957</v>
      </c>
      <c r="O9" s="1409">
        <v>8.3112351249999996</v>
      </c>
      <c r="P9" s="1409">
        <v>10.379695090999999</v>
      </c>
      <c r="Q9" s="1409">
        <v>1.9978727359999997</v>
      </c>
      <c r="R9" s="1409">
        <v>0.15944399100000001</v>
      </c>
      <c r="S9" s="1409">
        <v>0.57055935000000002</v>
      </c>
      <c r="T9" s="1409">
        <v>1.8865640000000003E-2</v>
      </c>
      <c r="U9" s="1409">
        <v>79.703454530000002</v>
      </c>
      <c r="V9" s="1528">
        <v>8.124274989998144E-2</v>
      </c>
      <c r="X9" s="1490"/>
      <c r="Y9" s="1490"/>
      <c r="Z9" s="1409"/>
      <c r="AA9" s="1409"/>
      <c r="AB9" s="1409"/>
      <c r="AC9" s="1409"/>
      <c r="AD9" s="1409"/>
      <c r="AE9" s="1409"/>
      <c r="AF9" s="1409"/>
      <c r="AG9" s="1409"/>
      <c r="AH9" s="1409"/>
      <c r="AI9" s="1409"/>
      <c r="AJ9" s="1409"/>
      <c r="AK9" s="1409"/>
      <c r="AL9" s="1409"/>
      <c r="AM9" s="1409"/>
      <c r="AN9" s="1409"/>
      <c r="AO9" s="1409"/>
      <c r="AP9" s="1409"/>
      <c r="AQ9" s="1409"/>
      <c r="AR9" s="1409"/>
      <c r="AS9" s="1491"/>
    </row>
    <row r="10" spans="1:45" s="1249" customFormat="1" ht="21" customHeight="1">
      <c r="A10" s="1490"/>
      <c r="B10" s="1409" t="s">
        <v>25</v>
      </c>
      <c r="C10" s="1492"/>
      <c r="D10" s="1492" t="e">
        <v>#DIV/0!</v>
      </c>
      <c r="E10" s="1492">
        <v>4.1355216867469881E-2</v>
      </c>
      <c r="F10" s="1492">
        <v>0.30620591079014436</v>
      </c>
      <c r="G10" s="1492">
        <v>-0.25696994194312789</v>
      </c>
      <c r="H10" s="1492">
        <v>-0.18364478494623668</v>
      </c>
      <c r="I10" s="1492">
        <v>0.18159540110497208</v>
      </c>
      <c r="J10" s="1492">
        <v>0.34664599117447414</v>
      </c>
      <c r="K10" s="1492">
        <v>0.29677751610891701</v>
      </c>
      <c r="L10" s="1492">
        <v>0.24938199999999996</v>
      </c>
      <c r="M10" s="1492">
        <v>-9.9736949987681886E-2</v>
      </c>
      <c r="N10" s="1492">
        <v>0.63189658741066523</v>
      </c>
      <c r="O10" s="1492">
        <v>-1.7119781811731304E-2</v>
      </c>
      <c r="P10" s="1492">
        <v>0.4515025997762549</v>
      </c>
      <c r="Q10" s="1492">
        <v>-0.20750783974613257</v>
      </c>
      <c r="R10" s="1492">
        <v>-0.45951189491525418</v>
      </c>
      <c r="S10" s="1492">
        <v>3.7153665289256201</v>
      </c>
      <c r="T10" s="1492"/>
      <c r="U10" s="1492">
        <v>0.15559146508728192</v>
      </c>
      <c r="V10" s="1528"/>
      <c r="X10" s="1490"/>
      <c r="Y10" s="1409"/>
      <c r="Z10" s="1492"/>
      <c r="AA10" s="1492"/>
      <c r="AB10" s="1492"/>
      <c r="AC10" s="1492"/>
      <c r="AD10" s="1492"/>
      <c r="AE10" s="1492"/>
      <c r="AF10" s="1492"/>
      <c r="AG10" s="1492"/>
      <c r="AH10" s="1492"/>
      <c r="AI10" s="1492"/>
      <c r="AJ10" s="1492"/>
      <c r="AK10" s="1492"/>
      <c r="AL10" s="1492"/>
      <c r="AM10" s="1492"/>
      <c r="AN10" s="1492"/>
      <c r="AO10" s="1492"/>
      <c r="AP10" s="1492"/>
      <c r="AQ10" s="1492"/>
      <c r="AR10" s="1492"/>
      <c r="AS10" s="1491"/>
    </row>
    <row r="11" spans="1:45" s="1249" customFormat="1" ht="21" customHeight="1">
      <c r="A11" s="1490">
        <v>45474</v>
      </c>
      <c r="B11" s="1490" t="s">
        <v>24</v>
      </c>
      <c r="C11" s="1409">
        <v>1.3633900000000001E-3</v>
      </c>
      <c r="D11" s="1409">
        <v>0.10600486000000001</v>
      </c>
      <c r="E11" s="1409">
        <v>7.4848547999999987E-2</v>
      </c>
      <c r="F11" s="1409">
        <v>1.4197229259999999</v>
      </c>
      <c r="G11" s="1409">
        <v>0.60927550600000002</v>
      </c>
      <c r="H11" s="1409">
        <v>0.49853713000000005</v>
      </c>
      <c r="I11" s="1409">
        <v>4.8449563999999992</v>
      </c>
      <c r="J11" s="1409">
        <v>4.9412720149999991</v>
      </c>
      <c r="K11" s="1409">
        <v>5.0995731749999997</v>
      </c>
      <c r="L11" s="1409">
        <v>6.1118957500000004</v>
      </c>
      <c r="M11" s="1409">
        <v>16.311852776999999</v>
      </c>
      <c r="N11" s="1409">
        <v>8.9670842699999991</v>
      </c>
      <c r="O11" s="1409">
        <v>8.5451382259999988</v>
      </c>
      <c r="P11" s="1409">
        <v>9.4379876770000006</v>
      </c>
      <c r="Q11" s="1409">
        <v>1.3188964759999999</v>
      </c>
      <c r="R11" s="1409">
        <v>9.5981095000000016E-2</v>
      </c>
      <c r="S11" s="1409">
        <v>0.83370739999999999</v>
      </c>
      <c r="T11" s="1409">
        <v>2.0437559999999997E-2</v>
      </c>
      <c r="U11" s="1409">
        <v>69.238535181000003</v>
      </c>
      <c r="V11" s="1528">
        <v>7.0575723854400543E-2</v>
      </c>
      <c r="X11" s="1490"/>
      <c r="Y11" s="1490"/>
      <c r="Z11" s="1409"/>
      <c r="AA11" s="1409"/>
      <c r="AB11" s="1409"/>
      <c r="AC11" s="1409"/>
      <c r="AD11" s="1409"/>
      <c r="AE11" s="1409"/>
      <c r="AF11" s="1409"/>
      <c r="AG11" s="1409"/>
      <c r="AH11" s="1409"/>
      <c r="AI11" s="1409"/>
      <c r="AJ11" s="1409"/>
      <c r="AK11" s="1409"/>
      <c r="AL11" s="1409"/>
      <c r="AM11" s="1409"/>
      <c r="AN11" s="1409"/>
      <c r="AO11" s="1409"/>
      <c r="AP11" s="1409"/>
      <c r="AQ11" s="1409"/>
      <c r="AR11" s="1409"/>
      <c r="AS11" s="1491"/>
    </row>
    <row r="12" spans="1:45" s="1249" customFormat="1" ht="21" customHeight="1">
      <c r="A12" s="1490"/>
      <c r="B12" s="1409" t="s">
        <v>25</v>
      </c>
      <c r="C12" s="1492"/>
      <c r="D12" s="1492">
        <v>105.00486000000001</v>
      </c>
      <c r="E12" s="1492">
        <v>-0.61016381250000007</v>
      </c>
      <c r="F12" s="1492">
        <v>0.25750480602302916</v>
      </c>
      <c r="G12" s="1492">
        <v>-0.18979321010638295</v>
      </c>
      <c r="H12" s="1492">
        <v>-0.20615106687898083</v>
      </c>
      <c r="I12" s="1492">
        <v>-5.2979593432369139E-2</v>
      </c>
      <c r="J12" s="1492">
        <v>0.22036848975055537</v>
      </c>
      <c r="K12" s="1492">
        <v>-2.4191891504018417E-2</v>
      </c>
      <c r="L12" s="1492">
        <v>0.33301979280261734</v>
      </c>
      <c r="M12" s="1492">
        <v>-5.4878453154875821E-2</v>
      </c>
      <c r="N12" s="1492">
        <v>0.1562971334622823</v>
      </c>
      <c r="O12" s="1492">
        <v>8.5096917587301438E-2</v>
      </c>
      <c r="P12" s="1492">
        <v>0.324072345258137</v>
      </c>
      <c r="Q12" s="1492">
        <v>-0.45746751295763066</v>
      </c>
      <c r="R12" s="1492">
        <v>-0.56569640271493205</v>
      </c>
      <c r="S12" s="1492">
        <v>3.086800980392157</v>
      </c>
      <c r="T12" s="1492"/>
      <c r="U12" s="1492">
        <v>7.2617545522145291E-2</v>
      </c>
      <c r="V12" s="1528"/>
      <c r="X12" s="1490"/>
      <c r="Y12" s="1409"/>
      <c r="Z12" s="1492"/>
      <c r="AA12" s="1492"/>
      <c r="AB12" s="1492"/>
      <c r="AC12" s="1492"/>
      <c r="AD12" s="1492"/>
      <c r="AE12" s="1492"/>
      <c r="AF12" s="1492"/>
      <c r="AG12" s="1492"/>
      <c r="AH12" s="1492"/>
      <c r="AI12" s="1492"/>
      <c r="AJ12" s="1492"/>
      <c r="AK12" s="1492"/>
      <c r="AL12" s="1492"/>
      <c r="AM12" s="1492"/>
      <c r="AN12" s="1492"/>
      <c r="AO12" s="1492"/>
      <c r="AP12" s="1492"/>
      <c r="AQ12" s="1492"/>
      <c r="AR12" s="1492"/>
      <c r="AS12" s="1491"/>
    </row>
    <row r="13" spans="1:45" s="1249" customFormat="1" ht="21" customHeight="1">
      <c r="A13" s="1490">
        <v>45505</v>
      </c>
      <c r="B13" s="1490" t="s">
        <v>24</v>
      </c>
      <c r="C13" s="1409">
        <v>1.1441729999999999E-2</v>
      </c>
      <c r="D13" s="1409">
        <v>8.5187999999999986E-2</v>
      </c>
      <c r="E13" s="1409">
        <v>6.4234592000000007E-2</v>
      </c>
      <c r="F13" s="1409">
        <v>1.155455763</v>
      </c>
      <c r="G13" s="1409">
        <v>0.560852766</v>
      </c>
      <c r="H13" s="1409">
        <v>0.41209867999999999</v>
      </c>
      <c r="I13" s="1409">
        <v>3.4681318299999999</v>
      </c>
      <c r="J13" s="1409">
        <v>3.7915187050000001</v>
      </c>
      <c r="K13" s="1409">
        <v>4.3143915800000006</v>
      </c>
      <c r="L13" s="1409">
        <v>5.1584368999999999</v>
      </c>
      <c r="M13" s="1409">
        <v>13.385100985000003</v>
      </c>
      <c r="N13" s="1409">
        <v>8.48091537</v>
      </c>
      <c r="O13" s="1409">
        <v>7.3868439700000001</v>
      </c>
      <c r="P13" s="1409">
        <v>8.6158679039999999</v>
      </c>
      <c r="Q13" s="1409">
        <v>1.3136918939999997</v>
      </c>
      <c r="R13" s="1409">
        <v>1.4518399999999999E-2</v>
      </c>
      <c r="S13" s="1409">
        <v>0.39744462999999997</v>
      </c>
      <c r="T13" s="1409">
        <v>1.8018609999999997E-2</v>
      </c>
      <c r="U13" s="1409">
        <v>58.634152309000001</v>
      </c>
      <c r="V13" s="1528">
        <v>5.9766540857328965E-2</v>
      </c>
      <c r="X13" s="1490"/>
      <c r="Y13" s="1490"/>
      <c r="Z13" s="1409"/>
      <c r="AA13" s="1409"/>
      <c r="AB13" s="1409"/>
      <c r="AC13" s="1409"/>
      <c r="AD13" s="1409"/>
      <c r="AE13" s="1409"/>
      <c r="AF13" s="1409"/>
      <c r="AG13" s="1409"/>
      <c r="AH13" s="1409"/>
      <c r="AI13" s="1409"/>
      <c r="AJ13" s="1409"/>
      <c r="AK13" s="1409"/>
      <c r="AL13" s="1409"/>
      <c r="AM13" s="1409"/>
      <c r="AN13" s="1409"/>
      <c r="AO13" s="1409"/>
      <c r="AP13" s="1409"/>
      <c r="AQ13" s="1409"/>
      <c r="AR13" s="1409"/>
      <c r="AS13" s="1491"/>
    </row>
    <row r="14" spans="1:45" s="1249" customFormat="1" ht="21" customHeight="1">
      <c r="A14" s="1490"/>
      <c r="B14" s="1409" t="s">
        <v>25</v>
      </c>
      <c r="C14" s="1492"/>
      <c r="D14" s="1492" t="e">
        <v>#DIV/0!</v>
      </c>
      <c r="E14" s="1492">
        <v>-0.65278598918918918</v>
      </c>
      <c r="F14" s="1492">
        <v>8.2901371134020643E-2</v>
      </c>
      <c r="G14" s="1492">
        <v>-0.10834218441971383</v>
      </c>
      <c r="H14" s="1492">
        <v>9.8929813333333325E-2</v>
      </c>
      <c r="I14" s="1492">
        <v>-0.26429108400509133</v>
      </c>
      <c r="J14" s="1492">
        <v>-0.10387173126920345</v>
      </c>
      <c r="K14" s="1492">
        <v>-0.12928525126135207</v>
      </c>
      <c r="L14" s="1492">
        <v>0.28479125778331266</v>
      </c>
      <c r="M14" s="1492">
        <v>-0.19113482082426853</v>
      </c>
      <c r="N14" s="1492">
        <v>0.14328867214882715</v>
      </c>
      <c r="O14" s="1492">
        <v>-0.15259332683262594</v>
      </c>
      <c r="P14" s="1492">
        <v>4.3588651162790655E-2</v>
      </c>
      <c r="Q14" s="1492">
        <v>-8.4535265505226692E-2</v>
      </c>
      <c r="R14" s="1492">
        <v>-0.95546503067484667</v>
      </c>
      <c r="S14" s="1492">
        <v>2.8586857281553399</v>
      </c>
      <c r="T14" s="1492"/>
      <c r="U14" s="1492">
        <v>-6.8914912360656708E-2</v>
      </c>
      <c r="V14" s="1528"/>
      <c r="X14" s="1490"/>
      <c r="Y14" s="1409"/>
      <c r="Z14" s="1492"/>
      <c r="AA14" s="1492"/>
      <c r="AB14" s="1492"/>
      <c r="AC14" s="1492"/>
      <c r="AD14" s="1492"/>
      <c r="AE14" s="1492"/>
      <c r="AF14" s="1492"/>
      <c r="AG14" s="1492"/>
      <c r="AH14" s="1492"/>
      <c r="AI14" s="1492"/>
      <c r="AJ14" s="1492"/>
      <c r="AK14" s="1492"/>
      <c r="AL14" s="1492"/>
      <c r="AM14" s="1492"/>
      <c r="AN14" s="1492"/>
      <c r="AO14" s="1492"/>
      <c r="AP14" s="1492"/>
      <c r="AQ14" s="1492"/>
      <c r="AR14" s="1492"/>
      <c r="AS14" s="1491"/>
    </row>
    <row r="15" spans="1:45" s="1249" customFormat="1" ht="21" customHeight="1">
      <c r="A15" s="1490">
        <v>45536</v>
      </c>
      <c r="B15" s="1490" t="s">
        <v>24</v>
      </c>
      <c r="C15" s="1409">
        <v>3.0773800000000002E-3</v>
      </c>
      <c r="D15" s="1409">
        <v>7.0844700000000007E-3</v>
      </c>
      <c r="E15" s="1409">
        <v>0.15541147</v>
      </c>
      <c r="F15" s="1409">
        <v>1.2152449259999998</v>
      </c>
      <c r="G15" s="1409">
        <v>0.67505540599999991</v>
      </c>
      <c r="H15" s="1409">
        <v>0.66753888200000011</v>
      </c>
      <c r="I15" s="1409">
        <v>2.7937908400000007</v>
      </c>
      <c r="J15" s="1409">
        <v>4.2099394050000001</v>
      </c>
      <c r="K15" s="1409">
        <v>4.3444577800000008</v>
      </c>
      <c r="L15" s="1409">
        <v>5.8662934499999988</v>
      </c>
      <c r="M15" s="1409">
        <v>15.816915031000001</v>
      </c>
      <c r="N15" s="1409">
        <v>9.5891827900000024</v>
      </c>
      <c r="O15" s="1409">
        <v>9.0799000769999996</v>
      </c>
      <c r="P15" s="1409">
        <v>9.0029324120000016</v>
      </c>
      <c r="Q15" s="1409">
        <v>0.84262495000000004</v>
      </c>
      <c r="R15" s="1409">
        <v>7.9574429999999988E-2</v>
      </c>
      <c r="S15" s="1409">
        <v>0.35743030999999997</v>
      </c>
      <c r="T15" s="1409">
        <v>2.4191599999999997E-2</v>
      </c>
      <c r="U15" s="1409">
        <v>64.730645608999978</v>
      </c>
      <c r="V15" s="1528">
        <v>6.5980774397888783E-2</v>
      </c>
      <c r="X15" s="1490"/>
      <c r="Y15" s="1490"/>
      <c r="Z15" s="1409"/>
      <c r="AA15" s="1409"/>
      <c r="AB15" s="1409"/>
      <c r="AC15" s="1409"/>
      <c r="AD15" s="1409"/>
      <c r="AE15" s="1409"/>
      <c r="AF15" s="1409"/>
      <c r="AG15" s="1409"/>
      <c r="AH15" s="1409"/>
      <c r="AI15" s="1409"/>
      <c r="AJ15" s="1409"/>
      <c r="AK15" s="1409"/>
      <c r="AL15" s="1409"/>
      <c r="AM15" s="1409"/>
      <c r="AN15" s="1409"/>
      <c r="AO15" s="1409"/>
      <c r="AP15" s="1409"/>
      <c r="AQ15" s="1409"/>
      <c r="AR15" s="1409"/>
      <c r="AS15" s="1491"/>
    </row>
    <row r="16" spans="1:45" s="1249" customFormat="1" ht="21" customHeight="1">
      <c r="A16" s="1490"/>
      <c r="B16" s="1409" t="s">
        <v>25</v>
      </c>
      <c r="C16" s="1492"/>
      <c r="D16" s="1492">
        <v>0.1807450000000001</v>
      </c>
      <c r="E16" s="1492">
        <v>-0.11698028409090906</v>
      </c>
      <c r="F16" s="1492">
        <v>0.18099604081632642</v>
      </c>
      <c r="G16" s="1492">
        <v>6.0438241430698543E-3</v>
      </c>
      <c r="H16" s="1492">
        <v>0.49004214732142881</v>
      </c>
      <c r="I16" s="1492">
        <v>-0.385845056056276</v>
      </c>
      <c r="J16" s="1492">
        <v>-3.3287393465909372E-3</v>
      </c>
      <c r="K16" s="1492">
        <v>-0.20503974748398884</v>
      </c>
      <c r="L16" s="1492">
        <v>0.67130867521367499</v>
      </c>
      <c r="M16" s="1492">
        <v>-7.0033920899663751E-4</v>
      </c>
      <c r="N16" s="1492">
        <v>0.2293824089743593</v>
      </c>
      <c r="O16" s="1492">
        <v>9.7932294679564699E-2</v>
      </c>
      <c r="P16" s="1492">
        <v>8.796766308157114E-2</v>
      </c>
      <c r="Q16" s="1492">
        <v>-0.56318043027475373</v>
      </c>
      <c r="R16" s="1492">
        <v>-0.73475190000000012</v>
      </c>
      <c r="S16" s="1492">
        <v>2.9714478888888882</v>
      </c>
      <c r="T16" s="1492"/>
      <c r="U16" s="1492">
        <v>3.4531654291193516E-2</v>
      </c>
      <c r="V16" s="1528"/>
      <c r="X16" s="1490"/>
      <c r="Y16" s="1409"/>
      <c r="Z16" s="1492"/>
      <c r="AA16" s="1492"/>
      <c r="AB16" s="1492"/>
      <c r="AC16" s="1492"/>
      <c r="AD16" s="1492"/>
      <c r="AE16" s="1492"/>
      <c r="AF16" s="1492"/>
      <c r="AG16" s="1492"/>
      <c r="AH16" s="1492"/>
      <c r="AI16" s="1492"/>
      <c r="AJ16" s="1492"/>
      <c r="AK16" s="1492"/>
      <c r="AL16" s="1492"/>
      <c r="AM16" s="1492"/>
      <c r="AN16" s="1492"/>
      <c r="AO16" s="1492"/>
      <c r="AP16" s="1492"/>
      <c r="AQ16" s="1492"/>
      <c r="AR16" s="1492"/>
      <c r="AS16" s="1491"/>
    </row>
    <row r="17" spans="1:45" s="1249" customFormat="1" ht="21" customHeight="1">
      <c r="A17" s="1490">
        <v>45566</v>
      </c>
      <c r="B17" s="1490" t="s">
        <v>24</v>
      </c>
      <c r="C17" s="1409">
        <v>4.1076899999999998E-3</v>
      </c>
      <c r="D17" s="1409">
        <v>8.0500000000000005E-4</v>
      </c>
      <c r="E17" s="1409">
        <v>0.15789658399999998</v>
      </c>
      <c r="F17" s="1409">
        <v>1.295504435</v>
      </c>
      <c r="G17" s="1409">
        <v>0.73165514499999995</v>
      </c>
      <c r="H17" s="1409">
        <v>0.68821439299999998</v>
      </c>
      <c r="I17" s="1409">
        <v>4.1376939899999998</v>
      </c>
      <c r="J17" s="1409">
        <v>5.8169148150000014</v>
      </c>
      <c r="K17" s="1409">
        <v>4.8124886700000005</v>
      </c>
      <c r="L17" s="1409">
        <v>7.4886690199999997</v>
      </c>
      <c r="M17" s="1409">
        <v>20.025356361</v>
      </c>
      <c r="N17" s="1409">
        <v>11.885162119999997</v>
      </c>
      <c r="O17" s="1409">
        <v>10.161844570999996</v>
      </c>
      <c r="P17" s="1409">
        <v>11.567393627000001</v>
      </c>
      <c r="Q17" s="1409">
        <v>0.70401709600000006</v>
      </c>
      <c r="R17" s="1409">
        <v>0.10554473</v>
      </c>
      <c r="S17" s="1409">
        <v>0.19850098999999999</v>
      </c>
      <c r="T17" s="1409">
        <v>3.784129E-2</v>
      </c>
      <c r="U17" s="1409">
        <v>79.819610527000009</v>
      </c>
      <c r="V17" s="1528">
        <v>8.1361149192324567E-2</v>
      </c>
      <c r="X17" s="1490"/>
      <c r="Y17" s="1490"/>
      <c r="Z17" s="1409"/>
      <c r="AA17" s="1409"/>
      <c r="AB17" s="1409"/>
      <c r="AC17" s="1409"/>
      <c r="AD17" s="1409"/>
      <c r="AE17" s="1409"/>
      <c r="AF17" s="1409"/>
      <c r="AG17" s="1409"/>
      <c r="AH17" s="1409"/>
      <c r="AI17" s="1409"/>
      <c r="AJ17" s="1409"/>
      <c r="AK17" s="1409"/>
      <c r="AL17" s="1409"/>
      <c r="AM17" s="1409"/>
      <c r="AN17" s="1409"/>
      <c r="AO17" s="1409"/>
      <c r="AP17" s="1409"/>
      <c r="AQ17" s="1409"/>
      <c r="AR17" s="1409"/>
      <c r="AS17" s="1491"/>
    </row>
    <row r="18" spans="1:45" s="1249" customFormat="1" ht="21" customHeight="1">
      <c r="A18" s="1490"/>
      <c r="B18" s="1409" t="s">
        <v>25</v>
      </c>
      <c r="C18" s="1492">
        <v>-0.79461549999999992</v>
      </c>
      <c r="D18" s="1492" t="e">
        <v>#DIV/0!</v>
      </c>
      <c r="E18" s="1492">
        <v>-0.26559728372093033</v>
      </c>
      <c r="F18" s="1492">
        <v>2.8994785544082698E-2</v>
      </c>
      <c r="G18" s="1492">
        <v>-1.5268983849259815E-2</v>
      </c>
      <c r="H18" s="1492">
        <v>0.43677326304801672</v>
      </c>
      <c r="I18" s="1492">
        <v>-0.11625502135839395</v>
      </c>
      <c r="J18" s="1492">
        <v>0.361637363061798</v>
      </c>
      <c r="K18" s="1492">
        <v>-0.29040273223237978</v>
      </c>
      <c r="L18" s="1492">
        <v>0.62974298585418931</v>
      </c>
      <c r="M18" s="1492">
        <v>-1.3334826517540369E-2</v>
      </c>
      <c r="N18" s="1492">
        <v>0.21351461302838434</v>
      </c>
      <c r="O18" s="1492">
        <v>0.10900846567717951</v>
      </c>
      <c r="P18" s="1492">
        <v>0.37854768525801469</v>
      </c>
      <c r="Q18" s="1492">
        <v>-0.67838414984010964</v>
      </c>
      <c r="R18" s="1492">
        <v>-0.80160765037593995</v>
      </c>
      <c r="S18" s="1492">
        <v>0.21037189024390232</v>
      </c>
      <c r="T18" s="1492"/>
      <c r="U18" s="1492">
        <v>8.4859336291725776E-2</v>
      </c>
      <c r="V18" s="1528"/>
      <c r="X18" s="1490"/>
      <c r="Y18" s="1409"/>
      <c r="Z18" s="1492"/>
      <c r="AA18" s="1492"/>
      <c r="AB18" s="1492"/>
      <c r="AC18" s="1492"/>
      <c r="AD18" s="1492"/>
      <c r="AE18" s="1492"/>
      <c r="AF18" s="1492"/>
      <c r="AG18" s="1492"/>
      <c r="AH18" s="1492"/>
      <c r="AI18" s="1492"/>
      <c r="AJ18" s="1492"/>
      <c r="AK18" s="1492"/>
      <c r="AL18" s="1492"/>
      <c r="AM18" s="1492"/>
      <c r="AN18" s="1492"/>
      <c r="AO18" s="1492"/>
      <c r="AP18" s="1492"/>
      <c r="AQ18" s="1492"/>
      <c r="AR18" s="1492"/>
      <c r="AS18" s="1491"/>
    </row>
    <row r="19" spans="1:45" s="1249" customFormat="1" ht="21" customHeight="1">
      <c r="A19" s="1490">
        <v>45597</v>
      </c>
      <c r="B19" s="1490" t="s">
        <v>24</v>
      </c>
      <c r="C19" s="1409">
        <v>1.0516889999999999E-2</v>
      </c>
      <c r="D19" s="1409">
        <v>1.6156E-2</v>
      </c>
      <c r="E19" s="1409">
        <v>0.17105272999999999</v>
      </c>
      <c r="F19" s="1409">
        <v>1.65029805</v>
      </c>
      <c r="G19" s="1409">
        <v>0.6825429340000001</v>
      </c>
      <c r="H19" s="1409">
        <v>0.81158561300000009</v>
      </c>
      <c r="I19" s="1409">
        <v>4.6021537900000009</v>
      </c>
      <c r="J19" s="1409">
        <v>6.3257622400000004</v>
      </c>
      <c r="K19" s="1409">
        <v>4.7384877899999998</v>
      </c>
      <c r="L19" s="1409">
        <v>7.9012711400000004</v>
      </c>
      <c r="M19" s="1409">
        <v>21.911485364999997</v>
      </c>
      <c r="N19" s="1409">
        <v>11.846118179999999</v>
      </c>
      <c r="O19" s="1409">
        <v>10.583949500999999</v>
      </c>
      <c r="P19" s="1409">
        <v>12.259383811999998</v>
      </c>
      <c r="Q19" s="1409">
        <v>1.1174007299999997</v>
      </c>
      <c r="R19" s="1409">
        <v>0.25893793300000001</v>
      </c>
      <c r="S19" s="1409">
        <v>0.33541009999999999</v>
      </c>
      <c r="T19" s="1409">
        <v>4.0782279999999997E-2</v>
      </c>
      <c r="U19" s="1409">
        <v>85.263295077999999</v>
      </c>
      <c r="V19" s="1528">
        <v>8.6909966431417018E-2</v>
      </c>
      <c r="X19" s="1490"/>
      <c r="Y19" s="1490"/>
      <c r="Z19" s="1409"/>
      <c r="AA19" s="1409"/>
      <c r="AB19" s="1409"/>
      <c r="AC19" s="1409"/>
      <c r="AD19" s="1409"/>
      <c r="AE19" s="1409"/>
      <c r="AF19" s="1409"/>
      <c r="AG19" s="1409"/>
      <c r="AH19" s="1409"/>
      <c r="AI19" s="1409"/>
      <c r="AJ19" s="1409"/>
      <c r="AK19" s="1409"/>
      <c r="AL19" s="1409"/>
      <c r="AM19" s="1409"/>
      <c r="AN19" s="1409"/>
      <c r="AO19" s="1409"/>
      <c r="AP19" s="1409"/>
      <c r="AQ19" s="1409"/>
      <c r="AR19" s="1409"/>
      <c r="AS19" s="1491"/>
    </row>
    <row r="20" spans="1:45" s="1249" customFormat="1" ht="21" customHeight="1">
      <c r="A20" s="1490"/>
      <c r="B20" s="1409" t="s">
        <v>25</v>
      </c>
      <c r="C20" s="1492">
        <v>-0.12359250000000008</v>
      </c>
      <c r="D20" s="1492">
        <v>-0.10244444444444437</v>
      </c>
      <c r="E20" s="1492">
        <v>-0.29317053719008268</v>
      </c>
      <c r="F20" s="1492">
        <v>6.8845887305699432E-2</v>
      </c>
      <c r="G20" s="1492">
        <v>-0.26765779613733898</v>
      </c>
      <c r="H20" s="1492">
        <v>0.47561020545454552</v>
      </c>
      <c r="I20" s="1492">
        <v>-0.11189621960632949</v>
      </c>
      <c r="J20" s="1492">
        <v>0.38601276073619639</v>
      </c>
      <c r="K20" s="1492">
        <v>-0.35346052803929595</v>
      </c>
      <c r="L20" s="1492">
        <v>0.44764953096372301</v>
      </c>
      <c r="M20" s="1492">
        <v>3.6053022128705675E-2</v>
      </c>
      <c r="N20" s="1492">
        <v>-6.5984532050776659E-2</v>
      </c>
      <c r="O20" s="1492">
        <v>4.3782002071005792E-2</v>
      </c>
      <c r="P20" s="1492">
        <v>0.80179068371546103</v>
      </c>
      <c r="Q20" s="1492">
        <v>-0.33998775546367416</v>
      </c>
      <c r="R20" s="1492">
        <v>-0.39781876046511627</v>
      </c>
      <c r="S20" s="1492">
        <v>0.77465661375661365</v>
      </c>
      <c r="T20" s="1492"/>
      <c r="U20" s="1492">
        <v>8.0389957779495452E-2</v>
      </c>
      <c r="V20" s="1528"/>
      <c r="X20" s="1490"/>
      <c r="Y20" s="1409"/>
      <c r="Z20" s="1492"/>
      <c r="AA20" s="1492"/>
      <c r="AB20" s="1492"/>
      <c r="AC20" s="1492"/>
      <c r="AD20" s="1492"/>
      <c r="AE20" s="1492"/>
      <c r="AF20" s="1492"/>
      <c r="AG20" s="1492"/>
      <c r="AH20" s="1492"/>
      <c r="AI20" s="1492"/>
      <c r="AJ20" s="1492"/>
      <c r="AK20" s="1492"/>
      <c r="AL20" s="1492"/>
      <c r="AM20" s="1492"/>
      <c r="AN20" s="1492"/>
      <c r="AO20" s="1492"/>
      <c r="AP20" s="1492"/>
      <c r="AQ20" s="1492"/>
      <c r="AR20" s="1492"/>
      <c r="AS20" s="1491"/>
    </row>
    <row r="21" spans="1:45" s="1249" customFormat="1" ht="21" customHeight="1">
      <c r="A21" s="1490">
        <v>45627</v>
      </c>
      <c r="B21" s="1490" t="s">
        <v>24</v>
      </c>
      <c r="C21" s="1409">
        <v>1.509713E-2</v>
      </c>
      <c r="D21" s="1409">
        <v>7.9580699999999994E-3</v>
      </c>
      <c r="E21" s="1409">
        <v>0.18201654</v>
      </c>
      <c r="F21" s="1409">
        <v>1.7933620809999999</v>
      </c>
      <c r="G21" s="1409">
        <v>0.73436567699999977</v>
      </c>
      <c r="H21" s="1409">
        <v>0.91400521899999998</v>
      </c>
      <c r="I21" s="1409">
        <v>4.4014248399999998</v>
      </c>
      <c r="J21" s="1409">
        <v>6.9567683450000004</v>
      </c>
      <c r="K21" s="1409">
        <v>5.2266159500000002</v>
      </c>
      <c r="L21" s="1409">
        <v>8.7899063599999998</v>
      </c>
      <c r="M21" s="1409">
        <v>23.970331379000001</v>
      </c>
      <c r="N21" s="1409">
        <v>12.632502769999999</v>
      </c>
      <c r="O21" s="1409">
        <v>10.67913388</v>
      </c>
      <c r="P21" s="1409">
        <v>13.677290797999998</v>
      </c>
      <c r="Q21" s="1409">
        <v>1.20449468</v>
      </c>
      <c r="R21" s="1409">
        <v>4.2203043999999995E-2</v>
      </c>
      <c r="S21" s="1409">
        <v>0.86288899999999991</v>
      </c>
      <c r="T21" s="1409">
        <v>5.1565029999999998E-2</v>
      </c>
      <c r="U21" s="1409">
        <v>92.141930793</v>
      </c>
      <c r="V21" s="1528">
        <v>9.3921447732224134E-2</v>
      </c>
      <c r="X21" s="1490"/>
      <c r="Y21" s="1490"/>
      <c r="Z21" s="1409"/>
      <c r="AA21" s="1409"/>
      <c r="AB21" s="1409"/>
      <c r="AC21" s="1409"/>
      <c r="AD21" s="1409"/>
      <c r="AE21" s="1409"/>
      <c r="AF21" s="1409"/>
      <c r="AG21" s="1409"/>
      <c r="AH21" s="1409"/>
      <c r="AI21" s="1409"/>
      <c r="AJ21" s="1409"/>
      <c r="AK21" s="1409"/>
      <c r="AL21" s="1409"/>
      <c r="AM21" s="1409"/>
      <c r="AN21" s="1409"/>
      <c r="AO21" s="1409"/>
      <c r="AP21" s="1409"/>
      <c r="AQ21" s="1409"/>
      <c r="AR21" s="1409"/>
      <c r="AS21" s="1491"/>
    </row>
    <row r="22" spans="1:45" s="1249" customFormat="1" ht="21" customHeight="1">
      <c r="A22" s="1490"/>
      <c r="B22" s="1409" t="s">
        <v>25</v>
      </c>
      <c r="C22" s="1492">
        <v>14.09713</v>
      </c>
      <c r="D22" s="1492">
        <v>-0.50262062500000004</v>
      </c>
      <c r="E22" s="1492">
        <v>-0.34290057761732856</v>
      </c>
      <c r="F22" s="1492">
        <v>1.3771668174109688E-2</v>
      </c>
      <c r="G22" s="1492">
        <v>4.909382428571403E-2</v>
      </c>
      <c r="H22" s="1492">
        <v>0.40184849539877293</v>
      </c>
      <c r="I22" s="1492">
        <v>-0.1090233117408908</v>
      </c>
      <c r="J22" s="1492">
        <v>0.3235860625951294</v>
      </c>
      <c r="K22" s="1492">
        <v>-0.33359480428407495</v>
      </c>
      <c r="L22" s="1492">
        <v>0.2997052136625758</v>
      </c>
      <c r="M22" s="1492">
        <v>-3.9303780249288586E-2</v>
      </c>
      <c r="N22" s="1492">
        <v>-7.5287111485250066E-2</v>
      </c>
      <c r="O22" s="1492">
        <v>-1.8010677701149409E-2</v>
      </c>
      <c r="P22" s="1492">
        <v>0.91130391252096121</v>
      </c>
      <c r="Q22" s="1492">
        <v>-0.32559088465845465</v>
      </c>
      <c r="R22" s="1492">
        <v>-0.90022921040189119</v>
      </c>
      <c r="S22" s="1492">
        <v>26.83512903225806</v>
      </c>
      <c r="T22" s="1492"/>
      <c r="U22" s="1492">
        <v>5.7886691079219184E-2</v>
      </c>
      <c r="V22" s="1528"/>
      <c r="X22" s="1490"/>
      <c r="Y22" s="1409"/>
      <c r="Z22" s="1492"/>
      <c r="AA22" s="1492"/>
      <c r="AB22" s="1492"/>
      <c r="AC22" s="1492"/>
      <c r="AD22" s="1492"/>
      <c r="AE22" s="1492"/>
      <c r="AF22" s="1492"/>
      <c r="AG22" s="1492"/>
      <c r="AH22" s="1492"/>
      <c r="AI22" s="1492"/>
      <c r="AJ22" s="1492"/>
      <c r="AK22" s="1492"/>
      <c r="AL22" s="1492"/>
      <c r="AM22" s="1492"/>
      <c r="AN22" s="1492"/>
      <c r="AO22" s="1492"/>
      <c r="AP22" s="1492"/>
      <c r="AQ22" s="1492"/>
      <c r="AR22" s="1492"/>
      <c r="AS22" s="1491"/>
    </row>
    <row r="23" spans="1:45" s="1249" customFormat="1" ht="21" customHeight="1">
      <c r="A23" s="1490">
        <v>45658</v>
      </c>
      <c r="B23" s="1490" t="s">
        <v>24</v>
      </c>
      <c r="C23" s="1409">
        <v>1.286699E-2</v>
      </c>
      <c r="D23" s="1409">
        <v>7.7987500000000001E-3</v>
      </c>
      <c r="E23" s="1409">
        <v>0.18258796999999999</v>
      </c>
      <c r="F23" s="1409">
        <v>1.9414993329999997</v>
      </c>
      <c r="G23" s="1409">
        <v>0.93354960700000011</v>
      </c>
      <c r="H23" s="1409">
        <v>1.2175629209999999</v>
      </c>
      <c r="I23" s="1409">
        <v>4.3868091300000005</v>
      </c>
      <c r="J23" s="1409">
        <v>7.0167708000000006</v>
      </c>
      <c r="K23" s="1409">
        <v>5.8660051500000012</v>
      </c>
      <c r="L23" s="1409">
        <v>9.2916654600000008</v>
      </c>
      <c r="M23" s="1409">
        <v>27.737687530000002</v>
      </c>
      <c r="N23" s="1409">
        <v>12.040210599999998</v>
      </c>
      <c r="O23" s="1409">
        <v>10.954173736</v>
      </c>
      <c r="P23" s="1409">
        <v>13.463342259999997</v>
      </c>
      <c r="Q23" s="1409">
        <v>1.7233370699999999</v>
      </c>
      <c r="R23" s="1409">
        <v>0.26132084700000002</v>
      </c>
      <c r="S23" s="1409">
        <v>1.0062125200000001</v>
      </c>
      <c r="T23" s="1409">
        <v>4.1343850000000001E-2</v>
      </c>
      <c r="U23" s="1409">
        <v>98.084744523999987</v>
      </c>
      <c r="V23" s="1528">
        <v>9.9979033723908844E-2</v>
      </c>
      <c r="X23" s="1490"/>
      <c r="Y23" s="1490"/>
      <c r="Z23" s="1409"/>
      <c r="AA23" s="1409"/>
      <c r="AB23" s="1409"/>
      <c r="AC23" s="1409"/>
      <c r="AD23" s="1409"/>
      <c r="AE23" s="1409"/>
      <c r="AF23" s="1409"/>
      <c r="AG23" s="1409"/>
      <c r="AH23" s="1409"/>
      <c r="AI23" s="1409"/>
      <c r="AJ23" s="1409"/>
      <c r="AK23" s="1409"/>
      <c r="AL23" s="1409"/>
      <c r="AM23" s="1409"/>
      <c r="AN23" s="1409"/>
      <c r="AO23" s="1409"/>
      <c r="AP23" s="1409"/>
      <c r="AQ23" s="1409"/>
      <c r="AR23" s="1409"/>
      <c r="AS23" s="1491"/>
    </row>
    <row r="24" spans="1:45" s="1249" customFormat="1" ht="21" customHeight="1">
      <c r="A24" s="1490"/>
      <c r="B24" s="1409" t="s">
        <v>25</v>
      </c>
      <c r="C24" s="1492">
        <v>0.1697263636363637</v>
      </c>
      <c r="D24" s="1492">
        <v>0.29979166666666668</v>
      </c>
      <c r="E24" s="1492">
        <v>-0.4221899683544304</v>
      </c>
      <c r="F24" s="1492">
        <v>-1.346578607723593E-2</v>
      </c>
      <c r="G24" s="1492">
        <v>0.27013551972789135</v>
      </c>
      <c r="H24" s="1492">
        <v>0.49211142279411757</v>
      </c>
      <c r="I24" s="1492">
        <v>-7.6461235789473572E-2</v>
      </c>
      <c r="J24" s="1492">
        <v>0.26178219744650255</v>
      </c>
      <c r="K24" s="1492">
        <v>-0.38710634729913262</v>
      </c>
      <c r="L24" s="1492">
        <v>0.36682339805825254</v>
      </c>
      <c r="M24" s="1492">
        <v>-2.1045827274652266E-2</v>
      </c>
      <c r="N24" s="1492">
        <v>-9.8449225009359959E-2</v>
      </c>
      <c r="O24" s="1492">
        <v>-6.1901709685706949E-2</v>
      </c>
      <c r="P24" s="1492">
        <v>0.79991206684491933</v>
      </c>
      <c r="Q24" s="1492">
        <v>-0.11623740000000002</v>
      </c>
      <c r="R24" s="1492">
        <v>1.2292988505747623E-3</v>
      </c>
      <c r="S24" s="1492">
        <v>10.978720476190476</v>
      </c>
      <c r="T24" s="1492"/>
      <c r="U24" s="1492">
        <v>4.7097290830868929E-2</v>
      </c>
      <c r="V24" s="1528"/>
      <c r="X24" s="1490"/>
      <c r="Y24" s="1409"/>
      <c r="Z24" s="1492"/>
      <c r="AA24" s="1492"/>
      <c r="AB24" s="1492"/>
      <c r="AC24" s="1492"/>
      <c r="AD24" s="1492"/>
      <c r="AE24" s="1492"/>
      <c r="AF24" s="1492"/>
      <c r="AG24" s="1492"/>
      <c r="AH24" s="1492"/>
      <c r="AI24" s="1492"/>
      <c r="AJ24" s="1492"/>
      <c r="AK24" s="1492"/>
      <c r="AL24" s="1492"/>
      <c r="AM24" s="1492"/>
      <c r="AN24" s="1492"/>
      <c r="AO24" s="1492"/>
      <c r="AP24" s="1492"/>
      <c r="AQ24" s="1492"/>
      <c r="AR24" s="1492"/>
      <c r="AS24" s="1491"/>
    </row>
    <row r="25" spans="1:45" s="1249" customFormat="1" ht="21" customHeight="1">
      <c r="A25" s="1490">
        <v>45689</v>
      </c>
      <c r="B25" s="1490" t="s">
        <v>24</v>
      </c>
      <c r="C25" s="1409"/>
      <c r="D25" s="1409">
        <v>1.5108400000000001E-3</v>
      </c>
      <c r="E25" s="1409">
        <v>0.17595950999999999</v>
      </c>
      <c r="F25" s="1409">
        <v>1.9158389359999999</v>
      </c>
      <c r="G25" s="1409">
        <v>0.94026047000000013</v>
      </c>
      <c r="H25" s="1409">
        <v>1.1501929499999999</v>
      </c>
      <c r="I25" s="1409">
        <v>4.2682524900000001</v>
      </c>
      <c r="J25" s="1409">
        <v>6.1902569700000001</v>
      </c>
      <c r="K25" s="1409">
        <v>5.2727382599999997</v>
      </c>
      <c r="L25" s="1409">
        <v>7.6412092300000003</v>
      </c>
      <c r="M25" s="1409">
        <v>28.259288956000002</v>
      </c>
      <c r="N25" s="1409">
        <v>10.752669570000002</v>
      </c>
      <c r="O25" s="1409">
        <v>11.106472139999999</v>
      </c>
      <c r="P25" s="1409">
        <v>12.052386537</v>
      </c>
      <c r="Q25" s="1409">
        <v>1.1825670340000001</v>
      </c>
      <c r="R25" s="1409">
        <v>7.4739467000000004E-2</v>
      </c>
      <c r="S25" s="1409">
        <v>0.91708060999999985</v>
      </c>
      <c r="T25" s="1409">
        <v>1.5401309999999998E-2</v>
      </c>
      <c r="U25" s="1409">
        <v>91.916825279999998</v>
      </c>
      <c r="V25" s="1528">
        <v>9.3691994805727916E-2</v>
      </c>
      <c r="X25" s="1490"/>
      <c r="Y25" s="1490"/>
      <c r="Z25" s="1409"/>
      <c r="AA25" s="1409"/>
      <c r="AB25" s="1409"/>
      <c r="AC25" s="1409"/>
      <c r="AD25" s="1409"/>
      <c r="AE25" s="1409"/>
      <c r="AF25" s="1409"/>
      <c r="AG25" s="1409"/>
      <c r="AH25" s="1409"/>
      <c r="AI25" s="1409"/>
      <c r="AJ25" s="1409"/>
      <c r="AK25" s="1409"/>
      <c r="AL25" s="1409"/>
      <c r="AM25" s="1409"/>
      <c r="AN25" s="1409"/>
      <c r="AO25" s="1409"/>
      <c r="AP25" s="1409"/>
      <c r="AQ25" s="1409"/>
      <c r="AR25" s="1409"/>
      <c r="AS25" s="1491"/>
    </row>
    <row r="26" spans="1:45" s="1249" customFormat="1" ht="21" customHeight="1">
      <c r="A26" s="1490"/>
      <c r="B26" s="1409" t="s">
        <v>25</v>
      </c>
      <c r="C26" s="1492"/>
      <c r="D26" s="1492">
        <v>-0.94404296296296297</v>
      </c>
      <c r="E26" s="1492">
        <v>-0.45183953271028043</v>
      </c>
      <c r="F26" s="1492">
        <v>-5.6701656326932671E-2</v>
      </c>
      <c r="G26" s="1492">
        <v>0.39504520771513363</v>
      </c>
      <c r="H26" s="1492">
        <v>0.80847948113207524</v>
      </c>
      <c r="I26" s="1492">
        <v>-2.5735564939511561E-2</v>
      </c>
      <c r="J26" s="1492">
        <v>7.9005921213177621E-2</v>
      </c>
      <c r="K26" s="1492">
        <v>-0.3855333574175504</v>
      </c>
      <c r="L26" s="1492">
        <v>4.2016627389374127E-4</v>
      </c>
      <c r="M26" s="1492">
        <v>2.813660610362056E-3</v>
      </c>
      <c r="N26" s="1492">
        <v>-0.10011971127290969</v>
      </c>
      <c r="O26" s="1492">
        <v>8.1342823483594437E-2</v>
      </c>
      <c r="P26" s="1492">
        <v>0.553943596828262</v>
      </c>
      <c r="Q26" s="1492">
        <v>-0.3569510418705818</v>
      </c>
      <c r="R26" s="1492"/>
      <c r="S26" s="1492">
        <v>5.2813740410958898</v>
      </c>
      <c r="T26" s="1492"/>
      <c r="U26" s="1492">
        <v>1.9383882265523636E-2</v>
      </c>
      <c r="V26" s="1528"/>
      <c r="X26" s="1490"/>
      <c r="Y26" s="1409"/>
      <c r="Z26" s="1492"/>
      <c r="AA26" s="1492"/>
      <c r="AB26" s="1492"/>
      <c r="AC26" s="1492"/>
      <c r="AD26" s="1492"/>
      <c r="AE26" s="1492"/>
      <c r="AF26" s="1492"/>
      <c r="AG26" s="1492"/>
      <c r="AH26" s="1492"/>
      <c r="AI26" s="1492"/>
      <c r="AJ26" s="1492"/>
      <c r="AK26" s="1492"/>
      <c r="AL26" s="1492"/>
      <c r="AM26" s="1492"/>
      <c r="AN26" s="1492"/>
      <c r="AO26" s="1492"/>
      <c r="AP26" s="1492"/>
      <c r="AQ26" s="1492"/>
      <c r="AR26" s="1492"/>
      <c r="AS26" s="1491"/>
    </row>
    <row r="27" spans="1:45" s="1249" customFormat="1" ht="21" customHeight="1">
      <c r="A27" s="1490">
        <v>45717</v>
      </c>
      <c r="B27" s="1490" t="s">
        <v>24</v>
      </c>
      <c r="C27" s="1409"/>
      <c r="D27" s="1409">
        <v>1.1050000000000001E-3</v>
      </c>
      <c r="E27" s="1409">
        <v>0.22489224999999999</v>
      </c>
      <c r="F27" s="1409">
        <v>2.4860320000000002</v>
      </c>
      <c r="G27" s="1409">
        <v>1.1179236289999999</v>
      </c>
      <c r="H27" s="1409">
        <v>1.106932816</v>
      </c>
      <c r="I27" s="1409">
        <v>4.9750102299999988</v>
      </c>
      <c r="J27" s="1409">
        <v>7.6362948500000005</v>
      </c>
      <c r="K27" s="1409">
        <v>6.6760039899999999</v>
      </c>
      <c r="L27" s="1409">
        <v>9.812222659999998</v>
      </c>
      <c r="M27" s="1409">
        <v>33.467413873000012</v>
      </c>
      <c r="N27" s="1409">
        <v>12.526878930000001</v>
      </c>
      <c r="O27" s="1409">
        <v>12.028390926999998</v>
      </c>
      <c r="P27" s="1409">
        <v>13.882143790000004</v>
      </c>
      <c r="Q27" s="1409">
        <v>1.55592354</v>
      </c>
      <c r="R27" s="1409">
        <v>0.27002937100000002</v>
      </c>
      <c r="S27" s="1409">
        <v>1.9637500000000001</v>
      </c>
      <c r="T27" s="1409">
        <v>2.5410690000000003E-2</v>
      </c>
      <c r="U27" s="1409">
        <v>109.75635854600002</v>
      </c>
      <c r="V27" s="1528">
        <v>0.11187605907255987</v>
      </c>
      <c r="X27" s="1490"/>
      <c r="Y27" s="1490"/>
      <c r="Z27" s="1409"/>
      <c r="AA27" s="1409"/>
      <c r="AB27" s="1409"/>
      <c r="AC27" s="1409"/>
      <c r="AD27" s="1409"/>
      <c r="AE27" s="1409"/>
      <c r="AF27" s="1409"/>
      <c r="AG27" s="1409"/>
      <c r="AH27" s="1409"/>
      <c r="AI27" s="1409"/>
      <c r="AJ27" s="1409"/>
      <c r="AK27" s="1409"/>
      <c r="AL27" s="1409"/>
      <c r="AM27" s="1409"/>
      <c r="AN27" s="1409"/>
      <c r="AO27" s="1409"/>
      <c r="AP27" s="1409"/>
      <c r="AQ27" s="1409"/>
      <c r="AR27" s="1409"/>
      <c r="AS27" s="1491"/>
    </row>
    <row r="28" spans="1:45" s="1249" customFormat="1" ht="21" customHeight="1">
      <c r="A28" s="1490"/>
      <c r="B28" s="1409" t="s">
        <v>25</v>
      </c>
      <c r="C28" s="1492"/>
      <c r="D28" s="1492">
        <v>-0.93861111111111117</v>
      </c>
      <c r="E28" s="1492">
        <v>-0.21640331010452959</v>
      </c>
      <c r="F28" s="1492">
        <v>1.1404393816110681E-2</v>
      </c>
      <c r="G28" s="1492">
        <v>0.46709137664041972</v>
      </c>
      <c r="H28" s="1492">
        <v>0.38193859675405739</v>
      </c>
      <c r="I28" s="1492">
        <v>0.11597358232391174</v>
      </c>
      <c r="J28" s="1492">
        <v>0.29780673861318829</v>
      </c>
      <c r="K28" s="1492">
        <v>-0.26950388554546445</v>
      </c>
      <c r="L28" s="1492">
        <v>0.12370850435180929</v>
      </c>
      <c r="M28" s="1492">
        <v>-0.11405617659360416</v>
      </c>
      <c r="N28" s="1492">
        <v>-0.1258284068387997</v>
      </c>
      <c r="O28" s="1492">
        <v>-1.1229681298808114E-2</v>
      </c>
      <c r="P28" s="1492">
        <v>0.56418521577464831</v>
      </c>
      <c r="Q28" s="1492">
        <v>-0.1520852643051771</v>
      </c>
      <c r="R28" s="1492">
        <v>-0.58199787770897826</v>
      </c>
      <c r="S28" s="1492">
        <v>2.3454003407155031</v>
      </c>
      <c r="T28" s="1492"/>
      <c r="U28" s="1492">
        <v>9.1796331856049216E-3</v>
      </c>
      <c r="V28" s="1528"/>
      <c r="X28" s="1490"/>
      <c r="Y28" s="1409"/>
      <c r="Z28" s="1492"/>
      <c r="AA28" s="1492"/>
      <c r="AB28" s="1492"/>
      <c r="AC28" s="1492"/>
      <c r="AD28" s="1492"/>
      <c r="AE28" s="1492"/>
      <c r="AF28" s="1492"/>
      <c r="AG28" s="1492"/>
      <c r="AH28" s="1492"/>
      <c r="AI28" s="1492"/>
      <c r="AJ28" s="1492"/>
      <c r="AK28" s="1492"/>
      <c r="AL28" s="1492"/>
      <c r="AM28" s="1492"/>
      <c r="AN28" s="1492"/>
      <c r="AO28" s="1492"/>
      <c r="AP28" s="1492"/>
      <c r="AQ28" s="1492"/>
      <c r="AR28" s="1492"/>
      <c r="AS28" s="1491"/>
    </row>
    <row r="29" spans="1:45" s="1416" customFormat="1" ht="21" customHeight="1">
      <c r="A29" s="1416" t="s">
        <v>76</v>
      </c>
      <c r="B29" s="1493" t="s">
        <v>24</v>
      </c>
      <c r="C29" s="1417">
        <v>7.6882549999999994E-2</v>
      </c>
      <c r="D29" s="1417">
        <v>0.25747376000000005</v>
      </c>
      <c r="E29" s="1417">
        <v>1.9508940879999999</v>
      </c>
      <c r="F29" s="1417">
        <v>19.600279602999997</v>
      </c>
      <c r="G29" s="1417">
        <v>8.8091849469999985</v>
      </c>
      <c r="H29" s="1417">
        <v>9.6101421340000002</v>
      </c>
      <c r="I29" s="1417">
        <v>53.765755920000004</v>
      </c>
      <c r="J29" s="1417">
        <v>71.253013570000007</v>
      </c>
      <c r="K29" s="1417">
        <v>63.615485135</v>
      </c>
      <c r="L29" s="1417">
        <v>87.665019610000002</v>
      </c>
      <c r="M29" s="1417">
        <v>260.14634924300009</v>
      </c>
      <c r="N29" s="1417">
        <v>134.11645018000002</v>
      </c>
      <c r="O29" s="1417">
        <v>115.55230785399999</v>
      </c>
      <c r="P29" s="1417">
        <v>128.41994249300001</v>
      </c>
      <c r="Q29" s="1417">
        <v>15.999281324999998</v>
      </c>
      <c r="R29" s="1417">
        <v>1.4062295270000003</v>
      </c>
      <c r="S29" s="1417">
        <v>8.4988779900000004</v>
      </c>
      <c r="T29" s="1417">
        <v>0.30956562000000004</v>
      </c>
      <c r="U29" s="1417">
        <v>981.05313554899999</v>
      </c>
      <c r="V29" s="1529">
        <v>1</v>
      </c>
      <c r="Y29" s="1493"/>
      <c r="Z29" s="1417"/>
      <c r="AA29" s="1417"/>
      <c r="AB29" s="1417"/>
      <c r="AC29" s="1417"/>
      <c r="AD29" s="1417"/>
      <c r="AE29" s="1417"/>
      <c r="AF29" s="1417"/>
      <c r="AG29" s="1417"/>
      <c r="AH29" s="1417"/>
      <c r="AI29" s="1417"/>
      <c r="AJ29" s="1417"/>
      <c r="AK29" s="1417"/>
      <c r="AL29" s="1417"/>
      <c r="AM29" s="1417"/>
      <c r="AN29" s="1417"/>
      <c r="AO29" s="1417"/>
      <c r="AP29" s="1417"/>
      <c r="AQ29" s="1417"/>
      <c r="AR29" s="1417"/>
      <c r="AS29" s="1494"/>
    </row>
    <row r="30" spans="1:45" s="1416" customFormat="1" ht="21" customHeight="1" thickBot="1">
      <c r="A30" s="1524"/>
      <c r="B30" s="1525" t="s">
        <v>25</v>
      </c>
      <c r="C30" s="1526">
        <v>0.45061415094339613</v>
      </c>
      <c r="D30" s="1526">
        <v>1.73908255319149</v>
      </c>
      <c r="E30" s="1526">
        <v>-0.24763050983416895</v>
      </c>
      <c r="F30" s="1526">
        <v>8.8420679864504345E-2</v>
      </c>
      <c r="G30" s="1526">
        <v>-3.4927153045574415E-2</v>
      </c>
      <c r="H30" s="1526">
        <v>0.29029835311493013</v>
      </c>
      <c r="I30" s="1526">
        <v>-3.1491949418164647E-2</v>
      </c>
      <c r="J30" s="1526">
        <v>0.23255917884758431</v>
      </c>
      <c r="K30" s="1526">
        <v>-0.18866078544281198</v>
      </c>
      <c r="L30" s="1526">
        <v>0.26087735138866941</v>
      </c>
      <c r="M30" s="1526">
        <v>-4.3424858274867729E-2</v>
      </c>
      <c r="N30" s="1526">
        <v>0.10633403873756456</v>
      </c>
      <c r="O30" s="1526">
        <v>2.4404043861856401E-3</v>
      </c>
      <c r="P30" s="1526">
        <v>0.37865079059356521</v>
      </c>
      <c r="Q30" s="1526">
        <v>-0.34927883332655485</v>
      </c>
      <c r="R30" s="1526">
        <v>-0.67470980175803841</v>
      </c>
      <c r="S30" s="1526">
        <v>3.4473458869701736</v>
      </c>
      <c r="T30" s="1526"/>
      <c r="U30" s="1526">
        <v>5.3757107157319232E-2</v>
      </c>
      <c r="V30" s="1530"/>
      <c r="Y30" s="1417"/>
      <c r="Z30" s="1495"/>
      <c r="AA30" s="1495"/>
      <c r="AB30" s="1495"/>
      <c r="AC30" s="1495"/>
      <c r="AD30" s="1495"/>
      <c r="AE30" s="1495"/>
      <c r="AF30" s="1495"/>
      <c r="AG30" s="1495"/>
      <c r="AH30" s="1495"/>
      <c r="AI30" s="1495"/>
      <c r="AJ30" s="1495"/>
      <c r="AK30" s="1495"/>
      <c r="AL30" s="1495"/>
      <c r="AM30" s="1495"/>
      <c r="AN30" s="1495"/>
      <c r="AO30" s="1495"/>
      <c r="AP30" s="1495"/>
      <c r="AQ30" s="1495"/>
      <c r="AR30" s="1495"/>
      <c r="AS30" s="1494"/>
    </row>
  </sheetData>
  <mergeCells count="2">
    <mergeCell ref="A1:V1"/>
    <mergeCell ref="A2:V2"/>
  </mergeCells>
  <printOptions horizontalCentered="1"/>
  <pageMargins left="0.19685039370078741" right="0.19685039370078741" top="0.59055118110236227" bottom="0.59055118110236227" header="0.19685039370078741" footer="0.19685039370078741"/>
  <pageSetup paperSize="9" scale="61" firstPageNumber="11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B050"/>
  </sheetPr>
  <dimension ref="A1:O17"/>
  <sheetViews>
    <sheetView view="pageBreakPreview" zoomScaleNormal="98" zoomScaleSheetLayoutView="100" workbookViewId="0">
      <selection activeCell="D28" sqref="D28"/>
    </sheetView>
  </sheetViews>
  <sheetFormatPr defaultColWidth="8.85546875" defaultRowHeight="12.75"/>
  <cols>
    <col min="1" max="1" width="7" style="171" customWidth="1"/>
    <col min="2" max="2" width="6.28515625" style="171" customWidth="1"/>
    <col min="3" max="3" width="6.85546875" style="171" customWidth="1"/>
    <col min="4" max="4" width="8.85546875" style="171" bestFit="1" customWidth="1"/>
    <col min="5" max="5" width="6.28515625" style="171" customWidth="1"/>
    <col min="6" max="6" width="7" style="171" customWidth="1"/>
    <col min="7" max="7" width="9.42578125" style="171" customWidth="1"/>
    <col min="8" max="8" width="6.28515625" style="171" bestFit="1" customWidth="1"/>
    <col min="9" max="9" width="7.7109375" style="171" customWidth="1"/>
    <col min="10" max="10" width="8.5703125" style="171" customWidth="1"/>
    <col min="11" max="11" width="7.140625" style="171" bestFit="1" customWidth="1"/>
    <col min="12" max="12" width="7" style="171" customWidth="1"/>
    <col min="13" max="13" width="8" style="171" bestFit="1" customWidth="1"/>
    <col min="14" max="14" width="7.28515625" style="173" customWidth="1"/>
    <col min="15" max="15" width="8" style="173" bestFit="1" customWidth="1"/>
    <col min="16" max="16" width="2.5703125" style="171" customWidth="1"/>
    <col min="17" max="16384" width="8.85546875" style="171"/>
  </cols>
  <sheetData>
    <row r="1" spans="1:15" ht="19.149999999999999" customHeight="1">
      <c r="A1" s="1572" t="s">
        <v>498</v>
      </c>
      <c r="B1" s="1573"/>
      <c r="C1" s="1573"/>
      <c r="D1" s="1573"/>
      <c r="E1" s="1573"/>
      <c r="F1" s="1573"/>
      <c r="G1" s="1573"/>
      <c r="H1" s="1573"/>
      <c r="I1" s="1573"/>
      <c r="J1" s="1573"/>
      <c r="K1" s="1573"/>
      <c r="L1" s="1573"/>
      <c r="M1" s="1573"/>
      <c r="N1" s="1573"/>
      <c r="O1" s="1574"/>
    </row>
    <row r="2" spans="1:15" ht="19.149999999999999" customHeight="1">
      <c r="A2" s="1559" t="s">
        <v>417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1"/>
    </row>
    <row r="3" spans="1:15" s="168" customFormat="1" ht="16.5" customHeight="1">
      <c r="A3" s="1578" t="s">
        <v>0</v>
      </c>
      <c r="B3" s="1566" t="s">
        <v>10</v>
      </c>
      <c r="C3" s="1580"/>
      <c r="D3" s="1580"/>
      <c r="E3" s="1580"/>
      <c r="F3" s="1580"/>
      <c r="G3" s="1580"/>
      <c r="H3" s="1580"/>
      <c r="I3" s="1580"/>
      <c r="J3" s="1581"/>
      <c r="K3" s="1571" t="s">
        <v>382</v>
      </c>
      <c r="L3" s="1571"/>
      <c r="M3" s="1571"/>
      <c r="N3" s="1571" t="s">
        <v>300</v>
      </c>
      <c r="O3" s="1562"/>
    </row>
    <row r="4" spans="1:15" s="168" customFormat="1" ht="16.5" customHeight="1">
      <c r="A4" s="1579"/>
      <c r="B4" s="1566" t="s">
        <v>484</v>
      </c>
      <c r="C4" s="1580"/>
      <c r="D4" s="1581"/>
      <c r="E4" s="1566" t="s">
        <v>485</v>
      </c>
      <c r="F4" s="1580"/>
      <c r="G4" s="1581"/>
      <c r="H4" s="1566" t="s">
        <v>486</v>
      </c>
      <c r="I4" s="1580"/>
      <c r="J4" s="1581"/>
      <c r="K4" s="1571"/>
      <c r="L4" s="1571"/>
      <c r="M4" s="1571"/>
      <c r="N4" s="1571"/>
      <c r="O4" s="1562"/>
    </row>
    <row r="5" spans="1:15" s="168" customFormat="1" ht="71.25" customHeight="1">
      <c r="A5" s="1579"/>
      <c r="B5" s="1147" t="s">
        <v>24</v>
      </c>
      <c r="C5" s="1144" t="s">
        <v>380</v>
      </c>
      <c r="D5" s="1144" t="s">
        <v>379</v>
      </c>
      <c r="E5" s="1147" t="s">
        <v>24</v>
      </c>
      <c r="F5" s="1144" t="s">
        <v>380</v>
      </c>
      <c r="G5" s="1144" t="s">
        <v>379</v>
      </c>
      <c r="H5" s="1147" t="s">
        <v>24</v>
      </c>
      <c r="I5" s="1144" t="s">
        <v>381</v>
      </c>
      <c r="J5" s="1144" t="s">
        <v>379</v>
      </c>
      <c r="K5" s="1147" t="s">
        <v>24</v>
      </c>
      <c r="L5" s="1144" t="s">
        <v>381</v>
      </c>
      <c r="M5" s="1144" t="s">
        <v>379</v>
      </c>
      <c r="N5" s="1147" t="s">
        <v>24</v>
      </c>
      <c r="O5" s="1145" t="s">
        <v>379</v>
      </c>
    </row>
    <row r="6" spans="1:15" s="239" customFormat="1" ht="18.75" customHeight="1">
      <c r="A6" s="945" t="s">
        <v>162</v>
      </c>
      <c r="B6" s="946" t="s">
        <v>163</v>
      </c>
      <c r="C6" s="946" t="s">
        <v>164</v>
      </c>
      <c r="D6" s="946" t="s">
        <v>165</v>
      </c>
      <c r="E6" s="946" t="s">
        <v>166</v>
      </c>
      <c r="F6" s="946" t="s">
        <v>167</v>
      </c>
      <c r="G6" s="946" t="s">
        <v>168</v>
      </c>
      <c r="H6" s="946" t="s">
        <v>169</v>
      </c>
      <c r="I6" s="946" t="s">
        <v>170</v>
      </c>
      <c r="J6" s="946" t="s">
        <v>171</v>
      </c>
      <c r="K6" s="946" t="s">
        <v>172</v>
      </c>
      <c r="L6" s="946" t="s">
        <v>173</v>
      </c>
      <c r="M6" s="946" t="s">
        <v>174</v>
      </c>
      <c r="N6" s="946" t="s">
        <v>175</v>
      </c>
      <c r="O6" s="947" t="s">
        <v>176</v>
      </c>
    </row>
    <row r="7" spans="1:15" s="168" customFormat="1" ht="18.75" customHeight="1">
      <c r="A7" s="285" t="s">
        <v>293</v>
      </c>
      <c r="B7" s="258">
        <v>14.339</v>
      </c>
      <c r="C7" s="240">
        <v>23.550183126118878</v>
      </c>
      <c r="D7" s="737">
        <v>4.0264074289030741E-2</v>
      </c>
      <c r="E7" s="258">
        <v>46.548000000000002</v>
      </c>
      <c r="F7" s="240">
        <v>76.449816873881133</v>
      </c>
      <c r="G7" s="737">
        <v>6.6098667033118105E-2</v>
      </c>
      <c r="H7" s="245">
        <v>60.887</v>
      </c>
      <c r="I7" s="242">
        <v>9.5250535800885441</v>
      </c>
      <c r="J7" s="737">
        <v>5.9899731922153025E-2</v>
      </c>
      <c r="K7" s="258">
        <v>578.34299999999996</v>
      </c>
      <c r="L7" s="240">
        <v>90.474946419911447</v>
      </c>
      <c r="M7" s="737">
        <v>4.8229850308029454E-2</v>
      </c>
      <c r="N7" s="685">
        <v>639.23</v>
      </c>
      <c r="O7" s="738">
        <v>4.9330328195817723E-2</v>
      </c>
    </row>
    <row r="8" spans="1:15" s="168" customFormat="1" ht="18.75" customHeight="1">
      <c r="A8" s="285" t="s">
        <v>301</v>
      </c>
      <c r="B8" s="258">
        <v>15.254</v>
      </c>
      <c r="C8" s="240">
        <v>24.738489482817339</v>
      </c>
      <c r="D8" s="737">
        <v>6.3811981309714702E-2</v>
      </c>
      <c r="E8" s="258">
        <v>46.406999999999996</v>
      </c>
      <c r="F8" s="240">
        <v>75.261510517182657</v>
      </c>
      <c r="G8" s="737">
        <v>-3.0291312193865545E-3</v>
      </c>
      <c r="H8" s="245">
        <v>61.660999999999994</v>
      </c>
      <c r="I8" s="242">
        <v>9.3728529127423741</v>
      </c>
      <c r="J8" s="737">
        <v>1.271207318475198E-2</v>
      </c>
      <c r="K8" s="258">
        <v>596.20699999999999</v>
      </c>
      <c r="L8" s="240">
        <v>90.627147087257626</v>
      </c>
      <c r="M8" s="737">
        <v>3.0888244519255932E-2</v>
      </c>
      <c r="N8" s="685">
        <v>657.86799999999994</v>
      </c>
      <c r="O8" s="738">
        <v>2.9156954460835566E-2</v>
      </c>
    </row>
    <row r="9" spans="1:15" s="168" customFormat="1" ht="18.75" customHeight="1">
      <c r="A9" s="285" t="s">
        <v>309</v>
      </c>
      <c r="B9" s="258">
        <v>33.884</v>
      </c>
      <c r="C9" s="240">
        <v>84.397728404901855</v>
      </c>
      <c r="D9" s="737">
        <v>1.2213189982955293</v>
      </c>
      <c r="E9" s="258">
        <v>6.2640000000000002</v>
      </c>
      <c r="F9" s="240">
        <v>15.602271595098134</v>
      </c>
      <c r="G9" s="737">
        <v>-0.86502036330725962</v>
      </c>
      <c r="H9" s="245">
        <v>40.148000000000003</v>
      </c>
      <c r="I9" s="242">
        <v>5.9443292863488306</v>
      </c>
      <c r="J9" s="737">
        <v>-0.34889151976127525</v>
      </c>
      <c r="K9" s="258">
        <v>635.25199999999995</v>
      </c>
      <c r="L9" s="240">
        <v>94.055670713651168</v>
      </c>
      <c r="M9" s="737">
        <v>6.5488999625968769E-2</v>
      </c>
      <c r="N9" s="685">
        <v>675.4</v>
      </c>
      <c r="O9" s="738">
        <v>2.6649723044744601E-2</v>
      </c>
    </row>
    <row r="10" spans="1:15" s="168" customFormat="1" ht="18.75" customHeight="1">
      <c r="A10" s="285" t="s">
        <v>319</v>
      </c>
      <c r="B10" s="258">
        <v>35.084000000000003</v>
      </c>
      <c r="C10" s="240">
        <v>85.296119809394142</v>
      </c>
      <c r="D10" s="737">
        <v>3.5414945106835169E-2</v>
      </c>
      <c r="E10" s="258">
        <v>6.048</v>
      </c>
      <c r="F10" s="240">
        <v>14.703880190605851</v>
      </c>
      <c r="G10" s="737">
        <v>-3.4482758620689682E-2</v>
      </c>
      <c r="H10" s="245">
        <v>41.132000000000005</v>
      </c>
      <c r="I10" s="242">
        <v>5.644433100321387</v>
      </c>
      <c r="J10" s="737">
        <v>2.4509315532529684E-2</v>
      </c>
      <c r="K10" s="258">
        <v>687.58600000000001</v>
      </c>
      <c r="L10" s="240">
        <v>94.355566899678607</v>
      </c>
      <c r="M10" s="737">
        <v>8.2383054283969304E-2</v>
      </c>
      <c r="N10" s="685">
        <v>728.71800000000007</v>
      </c>
      <c r="O10" s="738">
        <v>7.8942848682262506E-2</v>
      </c>
    </row>
    <row r="11" spans="1:15" s="168" customFormat="1" ht="18.75" customHeight="1">
      <c r="A11" s="285" t="s">
        <v>332</v>
      </c>
      <c r="B11" s="258">
        <v>35.451000000000001</v>
      </c>
      <c r="C11" s="240">
        <v>66.969548133595282</v>
      </c>
      <c r="D11" s="737">
        <v>1.0460608824535323E-2</v>
      </c>
      <c r="E11" s="258">
        <v>17.484999999999999</v>
      </c>
      <c r="F11" s="240">
        <v>33.030451866404718</v>
      </c>
      <c r="G11" s="737">
        <v>1.8910383597883598</v>
      </c>
      <c r="H11" s="245">
        <v>52.936</v>
      </c>
      <c r="I11" s="242">
        <v>7.2428352903510049</v>
      </c>
      <c r="J11" s="737">
        <v>0.28697850821744614</v>
      </c>
      <c r="K11" s="258">
        <v>677.93799999999999</v>
      </c>
      <c r="L11" s="240">
        <v>92.75716470964899</v>
      </c>
      <c r="M11" s="737">
        <v>-1.4031699307432125E-2</v>
      </c>
      <c r="N11" s="685">
        <v>730.87400000000002</v>
      </c>
      <c r="O11" s="738">
        <v>2.9586204814481716E-3</v>
      </c>
    </row>
    <row r="12" spans="1:15" s="168" customFormat="1" ht="18.75" customHeight="1">
      <c r="A12" s="285" t="s">
        <v>345</v>
      </c>
      <c r="B12" s="258">
        <v>32.276000000000003</v>
      </c>
      <c r="C12" s="240">
        <v>72.065554736865607</v>
      </c>
      <c r="D12" s="737">
        <v>-8.9560238075089477E-2</v>
      </c>
      <c r="E12" s="258">
        <v>12.510999999999999</v>
      </c>
      <c r="F12" s="240">
        <v>27.934445263134386</v>
      </c>
      <c r="G12" s="737">
        <v>-0.28447240491850162</v>
      </c>
      <c r="H12" s="245">
        <v>44.787000000000006</v>
      </c>
      <c r="I12" s="242">
        <v>6.2544425716013379</v>
      </c>
      <c r="J12" s="737">
        <v>-0.15394060752606911</v>
      </c>
      <c r="K12" s="258">
        <v>671.29600000000005</v>
      </c>
      <c r="L12" s="240">
        <v>93.745557428398669</v>
      </c>
      <c r="M12" s="737">
        <v>-9.7973561004102722E-3</v>
      </c>
      <c r="N12" s="685">
        <v>716.08300000000008</v>
      </c>
      <c r="O12" s="738">
        <v>-2.0237414383327275E-2</v>
      </c>
    </row>
    <row r="13" spans="1:15" s="168" customFormat="1" ht="18.75" customHeight="1">
      <c r="A13" s="285" t="s">
        <v>418</v>
      </c>
      <c r="B13" s="258">
        <v>36.907228000000003</v>
      </c>
      <c r="C13" s="240">
        <v>71.384129073746223</v>
      </c>
      <c r="D13" s="737">
        <v>0.14348828851158754</v>
      </c>
      <c r="E13" s="258">
        <v>14.795059999999999</v>
      </c>
      <c r="F13" s="240">
        <v>28.61587092625378</v>
      </c>
      <c r="G13" s="737">
        <v>0.18256414355367279</v>
      </c>
      <c r="H13" s="245">
        <v>51.702288000000003</v>
      </c>
      <c r="I13" s="242">
        <v>6.6437415702531544</v>
      </c>
      <c r="J13" s="737">
        <v>0.15440391184942051</v>
      </c>
      <c r="K13" s="258">
        <v>726.50811427532403</v>
      </c>
      <c r="L13" s="240">
        <v>93.356258429746859</v>
      </c>
      <c r="M13" s="737">
        <v>8.2247047912283072E-2</v>
      </c>
      <c r="N13" s="685">
        <v>778.21040227532399</v>
      </c>
      <c r="O13" s="738">
        <v>8.6760057528699738E-2</v>
      </c>
    </row>
    <row r="14" spans="1:15" s="168" customFormat="1" ht="18.75" customHeight="1">
      <c r="A14" s="285" t="s">
        <v>431</v>
      </c>
      <c r="B14" s="258">
        <v>43.365000000000002</v>
      </c>
      <c r="C14" s="240">
        <v>71.37214239865699</v>
      </c>
      <c r="D14" s="737">
        <v>0.17497309741062098</v>
      </c>
      <c r="E14" s="258">
        <v>17.393999999999998</v>
      </c>
      <c r="F14" s="240">
        <v>28.62785760134301</v>
      </c>
      <c r="G14" s="737">
        <v>0.17566268741052751</v>
      </c>
      <c r="H14" s="245">
        <v>60.759</v>
      </c>
      <c r="I14" s="242">
        <v>6.8024644225031379</v>
      </c>
      <c r="J14" s="737">
        <v>0.17517042959491458</v>
      </c>
      <c r="K14" s="258">
        <v>832.43200000000002</v>
      </c>
      <c r="L14" s="240">
        <v>93.197535577496865</v>
      </c>
      <c r="M14" s="737">
        <v>0.1457986272188202</v>
      </c>
      <c r="N14" s="685">
        <v>893.19100000000003</v>
      </c>
      <c r="O14" s="738">
        <v>0.14775001386321346</v>
      </c>
    </row>
    <row r="15" spans="1:15" s="168" customFormat="1" ht="18.75" customHeight="1">
      <c r="A15" s="1420" t="s">
        <v>504</v>
      </c>
      <c r="B15" s="962">
        <v>49.418999999999997</v>
      </c>
      <c r="C15" s="240">
        <v>73.957288876251468</v>
      </c>
      <c r="D15" s="737">
        <v>0.13960567277758548</v>
      </c>
      <c r="E15" s="258">
        <v>17.402000000000001</v>
      </c>
      <c r="F15" s="240">
        <v>26.042711123748525</v>
      </c>
      <c r="G15" s="737">
        <v>4.599287110499409E-4</v>
      </c>
      <c r="H15" s="245">
        <v>66.820999999999998</v>
      </c>
      <c r="I15" s="242">
        <v>6.6966585356565176</v>
      </c>
      <c r="J15" s="737">
        <v>9.977122730788851E-2</v>
      </c>
      <c r="K15" s="258">
        <v>931.005</v>
      </c>
      <c r="L15" s="240">
        <v>93.303341464343475</v>
      </c>
      <c r="M15" s="737">
        <v>0.11841567839775498</v>
      </c>
      <c r="N15" s="685">
        <v>997.82600000000002</v>
      </c>
      <c r="O15" s="738">
        <v>0.11714739624559584</v>
      </c>
    </row>
    <row r="16" spans="1:15" s="219" customFormat="1" ht="18.75" customHeight="1" thickBot="1">
      <c r="A16" s="1270" t="s">
        <v>538</v>
      </c>
      <c r="B16" s="1399">
        <v>50.492129142000003</v>
      </c>
      <c r="C16" s="240">
        <v>75.96274250478956</v>
      </c>
      <c r="D16" s="737">
        <v>2.1714910095307599E-2</v>
      </c>
      <c r="E16" s="258">
        <v>15.977468291000001</v>
      </c>
      <c r="F16" s="240">
        <v>24.03725749521044</v>
      </c>
      <c r="G16" s="737">
        <v>-8.186022922652568E-2</v>
      </c>
      <c r="H16" s="245">
        <v>66.469597433000004</v>
      </c>
      <c r="I16" s="242">
        <v>6.3454093452661926</v>
      </c>
      <c r="J16" s="737">
        <v>-5.2588642342975087E-3</v>
      </c>
      <c r="K16" s="258">
        <v>981.05301011300014</v>
      </c>
      <c r="L16" s="240">
        <v>93.654590654733795</v>
      </c>
      <c r="M16" s="737">
        <v>5.3756972425497332E-2</v>
      </c>
      <c r="N16" s="685">
        <v>1047.5226075460002</v>
      </c>
      <c r="O16" s="738">
        <v>4.9804883362430143E-2</v>
      </c>
    </row>
    <row r="17" spans="1:15" ht="27.6" customHeight="1" thickTop="1">
      <c r="A17" s="1575" t="s">
        <v>336</v>
      </c>
      <c r="B17" s="1576"/>
      <c r="C17" s="1576"/>
      <c r="D17" s="1576"/>
      <c r="E17" s="1576"/>
      <c r="F17" s="1576"/>
      <c r="G17" s="1576"/>
      <c r="H17" s="1576"/>
      <c r="I17" s="1576"/>
      <c r="J17" s="1576"/>
      <c r="K17" s="1576"/>
      <c r="L17" s="1576"/>
      <c r="M17" s="1576"/>
      <c r="N17" s="1576"/>
      <c r="O17" s="1577"/>
    </row>
  </sheetData>
  <mergeCells count="10">
    <mergeCell ref="A1:O1"/>
    <mergeCell ref="A2:O2"/>
    <mergeCell ref="A17:O17"/>
    <mergeCell ref="A3:A5"/>
    <mergeCell ref="N3:O4"/>
    <mergeCell ref="K3:M4"/>
    <mergeCell ref="B3:J3"/>
    <mergeCell ref="B4:D4"/>
    <mergeCell ref="E4:G4"/>
    <mergeCell ref="H4:J4"/>
  </mergeCells>
  <phoneticPr fontId="4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85" firstPageNumber="6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tabColor rgb="FF00B050"/>
  </sheetPr>
  <dimension ref="A1:Q16"/>
  <sheetViews>
    <sheetView view="pageBreakPreview" zoomScale="130" zoomScaleNormal="70" zoomScaleSheetLayoutView="130" workbookViewId="0">
      <selection activeCell="H26" sqref="H26"/>
    </sheetView>
  </sheetViews>
  <sheetFormatPr defaultColWidth="9.140625" defaultRowHeight="12.75"/>
  <cols>
    <col min="1" max="1" width="8.28515625" style="174" customWidth="1"/>
    <col min="2" max="2" width="9.7109375" style="174" customWidth="1"/>
    <col min="3" max="3" width="9.5703125" style="174" customWidth="1"/>
    <col min="4" max="4" width="9.7109375" style="174" customWidth="1"/>
    <col min="5" max="5" width="9.85546875" style="174" customWidth="1"/>
    <col min="6" max="6" width="9.7109375" style="174" customWidth="1"/>
    <col min="7" max="7" width="9.28515625" style="174" customWidth="1"/>
    <col min="8" max="8" width="9.28515625" style="174" bestFit="1" customWidth="1"/>
    <col min="9" max="9" width="10.7109375" style="174" customWidth="1"/>
    <col min="10" max="10" width="9.28515625" style="174" hidden="1" customWidth="1"/>
    <col min="11" max="11" width="8.7109375" style="174" hidden="1" customWidth="1"/>
    <col min="12" max="25" width="9.140625" style="174"/>
    <col min="26" max="26" width="10.85546875" style="174" bestFit="1" customWidth="1"/>
    <col min="27" max="16384" width="9.140625" style="174"/>
  </cols>
  <sheetData>
    <row r="1" spans="1:17" ht="18.75" customHeight="1">
      <c r="A1" s="1572" t="s">
        <v>497</v>
      </c>
      <c r="B1" s="1573"/>
      <c r="C1" s="1573"/>
      <c r="D1" s="1573"/>
      <c r="E1" s="1573"/>
      <c r="F1" s="1573"/>
      <c r="G1" s="1573"/>
      <c r="H1" s="1573"/>
      <c r="I1" s="1574"/>
      <c r="J1" s="764"/>
      <c r="K1" s="765"/>
    </row>
    <row r="2" spans="1:17" ht="17.100000000000001" customHeight="1">
      <c r="A2" s="1586" t="s">
        <v>417</v>
      </c>
      <c r="B2" s="1587"/>
      <c r="C2" s="1587"/>
      <c r="D2" s="1587"/>
      <c r="E2" s="1587"/>
      <c r="F2" s="1587"/>
      <c r="G2" s="1587"/>
      <c r="H2" s="1587"/>
      <c r="I2" s="1588"/>
      <c r="J2" s="209"/>
      <c r="K2" s="763"/>
    </row>
    <row r="3" spans="1:17" s="163" customFormat="1" ht="29.45" customHeight="1">
      <c r="A3" s="1589" t="s">
        <v>0</v>
      </c>
      <c r="B3" s="1584" t="s">
        <v>385</v>
      </c>
      <c r="C3" s="1585"/>
      <c r="D3" s="1584" t="s">
        <v>386</v>
      </c>
      <c r="E3" s="1585"/>
      <c r="F3" s="1584" t="s">
        <v>387</v>
      </c>
      <c r="G3" s="1585"/>
      <c r="H3" s="1584" t="s">
        <v>388</v>
      </c>
      <c r="I3" s="1590"/>
      <c r="J3" s="1582" t="s">
        <v>11</v>
      </c>
      <c r="K3" s="1583"/>
    </row>
    <row r="4" spans="1:17" ht="58.9" customHeight="1">
      <c r="A4" s="1589"/>
      <c r="B4" s="1149" t="s">
        <v>24</v>
      </c>
      <c r="C4" s="1144" t="s">
        <v>379</v>
      </c>
      <c r="D4" s="1149" t="s">
        <v>24</v>
      </c>
      <c r="E4" s="1144" t="s">
        <v>379</v>
      </c>
      <c r="F4" s="1149" t="s">
        <v>24</v>
      </c>
      <c r="G4" s="1144" t="s">
        <v>379</v>
      </c>
      <c r="H4" s="1149" t="s">
        <v>24</v>
      </c>
      <c r="I4" s="1145" t="s">
        <v>379</v>
      </c>
      <c r="J4" s="766" t="s">
        <v>2</v>
      </c>
      <c r="K4" s="759" t="s">
        <v>379</v>
      </c>
      <c r="M4" s="224"/>
      <c r="N4" s="224"/>
      <c r="O4" s="224"/>
    </row>
    <row r="5" spans="1:17" s="165" customFormat="1" ht="18" customHeight="1">
      <c r="A5" s="945" t="s">
        <v>162</v>
      </c>
      <c r="B5" s="946" t="s">
        <v>163</v>
      </c>
      <c r="C5" s="946" t="s">
        <v>164</v>
      </c>
      <c r="D5" s="946" t="s">
        <v>165</v>
      </c>
      <c r="E5" s="946" t="s">
        <v>166</v>
      </c>
      <c r="F5" s="946" t="s">
        <v>167</v>
      </c>
      <c r="G5" s="946" t="s">
        <v>168</v>
      </c>
      <c r="H5" s="946" t="s">
        <v>169</v>
      </c>
      <c r="I5" s="947" t="s">
        <v>170</v>
      </c>
      <c r="J5" s="717" t="s">
        <v>171</v>
      </c>
      <c r="K5" s="698" t="s">
        <v>172</v>
      </c>
      <c r="L5" s="164"/>
      <c r="M5" s="224"/>
      <c r="N5" s="224"/>
      <c r="O5" s="224"/>
      <c r="P5" s="696"/>
    </row>
    <row r="6" spans="1:17" s="163" customFormat="1" ht="15" customHeight="1">
      <c r="A6" s="244" t="s">
        <v>293</v>
      </c>
      <c r="B6" s="258">
        <v>6.1820000000000004</v>
      </c>
      <c r="C6" s="739">
        <v>1.8451400329489307E-2</v>
      </c>
      <c r="D6" s="243">
        <v>17.119</v>
      </c>
      <c r="E6" s="739">
        <v>-1.0119116456574576E-2</v>
      </c>
      <c r="F6" s="243">
        <v>5.5250000000000004</v>
      </c>
      <c r="G6" s="739">
        <v>0.16315789473684217</v>
      </c>
      <c r="H6" s="243">
        <v>0</v>
      </c>
      <c r="I6" s="767">
        <v>-1</v>
      </c>
      <c r="J6" s="243">
        <v>14.367999999999999</v>
      </c>
      <c r="K6" s="241" t="e">
        <f>100*(J6-#REF!)/#REF!</f>
        <v>#REF!</v>
      </c>
      <c r="L6" s="224"/>
      <c r="M6" s="224"/>
      <c r="N6" s="224"/>
      <c r="O6" s="224"/>
      <c r="P6" s="224"/>
      <c r="Q6" s="224"/>
    </row>
    <row r="7" spans="1:17" s="163" customFormat="1" ht="15" customHeight="1">
      <c r="A7" s="587" t="s">
        <v>301</v>
      </c>
      <c r="B7" s="258">
        <v>6.4139999999999997</v>
      </c>
      <c r="C7" s="739">
        <v>3.7528307990941333E-2</v>
      </c>
      <c r="D7" s="243">
        <v>20.274000000000001</v>
      </c>
      <c r="E7" s="739">
        <v>0.18429814825632346</v>
      </c>
      <c r="F7" s="243">
        <v>4.5979999999999999</v>
      </c>
      <c r="G7" s="739">
        <v>-0.16778280542986432</v>
      </c>
      <c r="H7" s="243">
        <v>0</v>
      </c>
      <c r="I7" s="767"/>
      <c r="J7" s="243">
        <v>13.779</v>
      </c>
      <c r="K7" s="241">
        <f>100*(J7-J6)/J6</f>
        <v>-4.0993875278396343</v>
      </c>
      <c r="L7" s="224"/>
      <c r="M7" s="224"/>
      <c r="N7" s="224"/>
      <c r="O7" s="224"/>
      <c r="P7" s="224"/>
      <c r="Q7" s="224"/>
    </row>
    <row r="8" spans="1:17" s="163" customFormat="1" ht="15" customHeight="1">
      <c r="A8" s="244" t="s">
        <v>309</v>
      </c>
      <c r="B8" s="258">
        <v>5.7530000000000001</v>
      </c>
      <c r="C8" s="739">
        <v>-0.10305581540380412</v>
      </c>
      <c r="D8" s="243">
        <v>13.998999999999999</v>
      </c>
      <c r="E8" s="739">
        <v>-0.30950971687876105</v>
      </c>
      <c r="F8" s="243">
        <v>3.67</v>
      </c>
      <c r="G8" s="739">
        <v>-0.20182688125271855</v>
      </c>
      <c r="H8" s="243">
        <v>0</v>
      </c>
      <c r="I8" s="767"/>
      <c r="J8" s="243">
        <v>13.869</v>
      </c>
      <c r="K8" s="241">
        <f>100*(J8-J7)/J7</f>
        <v>0.65316786414108319</v>
      </c>
      <c r="L8" s="224"/>
      <c r="M8" s="224"/>
      <c r="N8" s="224"/>
      <c r="O8" s="224"/>
      <c r="P8" s="224"/>
      <c r="Q8" s="224"/>
    </row>
    <row r="9" spans="1:17" s="163" customFormat="1" ht="15" customHeight="1">
      <c r="A9" s="587" t="s">
        <v>319</v>
      </c>
      <c r="B9" s="258">
        <v>5.5699999999999994</v>
      </c>
      <c r="C9" s="739">
        <v>-3.1809490700504206E-2</v>
      </c>
      <c r="D9" s="243">
        <v>19.363000000000003</v>
      </c>
      <c r="E9" s="739">
        <v>0.38317022644474641</v>
      </c>
      <c r="F9" s="243">
        <v>3.5019999999999998</v>
      </c>
      <c r="G9" s="739">
        <v>-4.5776566757493233E-2</v>
      </c>
      <c r="H9" s="243">
        <v>0</v>
      </c>
      <c r="I9" s="767"/>
      <c r="J9" s="243">
        <v>14.181999999999999</v>
      </c>
      <c r="K9" s="241">
        <f>100*(J9-J8)/J8</f>
        <v>2.2568317831134102</v>
      </c>
      <c r="L9" s="224"/>
      <c r="M9" s="224"/>
      <c r="N9" s="224"/>
      <c r="O9" s="224"/>
      <c r="P9" s="224"/>
      <c r="Q9" s="224"/>
    </row>
    <row r="10" spans="1:17" s="163" customFormat="1" ht="15" customHeight="1">
      <c r="A10" s="244" t="s">
        <v>332</v>
      </c>
      <c r="B10" s="258">
        <v>5.2850000000000001</v>
      </c>
      <c r="C10" s="739">
        <v>-5.1166965888689277E-2</v>
      </c>
      <c r="D10" s="243">
        <v>18.902999999999999</v>
      </c>
      <c r="E10" s="739">
        <v>-2.3756649279554013E-2</v>
      </c>
      <c r="F10" s="243">
        <v>3.5469999999999997</v>
      </c>
      <c r="G10" s="739">
        <v>1.2849800114220426E-2</v>
      </c>
      <c r="H10" s="243">
        <v>0</v>
      </c>
      <c r="I10" s="767"/>
      <c r="J10" s="243">
        <v>14.844000000000001</v>
      </c>
      <c r="K10" s="241">
        <f>100*(J10-J9)/J9</f>
        <v>4.6678888732195931</v>
      </c>
      <c r="L10" s="224"/>
      <c r="M10" s="224"/>
      <c r="N10" s="224"/>
      <c r="O10" s="224"/>
      <c r="P10" s="224"/>
      <c r="Q10" s="224"/>
    </row>
    <row r="11" spans="1:17" s="163" customFormat="1" ht="15" customHeight="1">
      <c r="A11" s="244" t="s">
        <v>345</v>
      </c>
      <c r="B11" s="258">
        <v>4.9029999999999996</v>
      </c>
      <c r="C11" s="739">
        <v>-7.2280037842951853E-2</v>
      </c>
      <c r="D11" s="243">
        <v>18.433</v>
      </c>
      <c r="E11" s="739">
        <v>-2.4863778236258738E-2</v>
      </c>
      <c r="F11" s="243">
        <v>3.6230000000000002</v>
      </c>
      <c r="G11" s="739">
        <v>2.142655765435594E-2</v>
      </c>
      <c r="H11" s="243">
        <v>6.0000000000000001E-3</v>
      </c>
      <c r="I11" s="767"/>
      <c r="J11" s="243">
        <v>13.895</v>
      </c>
      <c r="K11" s="241">
        <f>100*(J11-J10)/J10</f>
        <v>-6.3931554836971269</v>
      </c>
      <c r="L11" s="224"/>
      <c r="M11" s="224"/>
      <c r="N11" s="224"/>
      <c r="O11" s="224"/>
      <c r="P11" s="224"/>
      <c r="Q11" s="224"/>
    </row>
    <row r="12" spans="1:17" s="163" customFormat="1" ht="15" customHeight="1">
      <c r="A12" s="244" t="s">
        <v>418</v>
      </c>
      <c r="B12" s="258">
        <v>4.7009999999999996</v>
      </c>
      <c r="C12" s="739">
        <v>-4.1199265755659797E-2</v>
      </c>
      <c r="D12" s="243">
        <v>17.636194</v>
      </c>
      <c r="E12" s="739">
        <v>-4.3227146964682911E-2</v>
      </c>
      <c r="F12" s="243">
        <v>2.4424250000000001</v>
      </c>
      <c r="G12" s="739">
        <v>-0.32585564449351367</v>
      </c>
      <c r="H12" s="243">
        <v>1.763781</v>
      </c>
      <c r="I12" s="767">
        <v>292.96350000000001</v>
      </c>
      <c r="J12" s="243"/>
      <c r="K12" s="241"/>
      <c r="L12" s="224"/>
      <c r="M12" s="224"/>
      <c r="N12" s="224"/>
      <c r="O12" s="224"/>
      <c r="P12" s="224"/>
      <c r="Q12" s="224"/>
    </row>
    <row r="13" spans="1:17" s="163" customFormat="1" ht="15" customHeight="1">
      <c r="A13" s="244" t="s">
        <v>431</v>
      </c>
      <c r="B13" s="258">
        <v>5.31</v>
      </c>
      <c r="C13" s="739">
        <v>0.12954690491384813</v>
      </c>
      <c r="D13" s="243">
        <v>16.244</v>
      </c>
      <c r="E13" s="739">
        <v>-7.8939594336510474E-2</v>
      </c>
      <c r="F13" s="243">
        <v>3.77</v>
      </c>
      <c r="G13" s="739">
        <v>0.5435479083288125</v>
      </c>
      <c r="H13" s="243">
        <v>2.1429999999999998</v>
      </c>
      <c r="I13" s="767">
        <v>0.21500344997479831</v>
      </c>
      <c r="J13" s="243"/>
      <c r="K13" s="241"/>
      <c r="L13" s="224"/>
      <c r="M13" s="224"/>
      <c r="N13" s="224"/>
      <c r="O13" s="224"/>
      <c r="P13" s="224"/>
      <c r="Q13" s="224"/>
    </row>
    <row r="14" spans="1:17" s="163" customFormat="1" ht="15" customHeight="1">
      <c r="A14" s="244" t="s">
        <v>504</v>
      </c>
      <c r="B14" s="258">
        <v>5.3970000000000002</v>
      </c>
      <c r="C14" s="739">
        <v>1.6384180790960573E-2</v>
      </c>
      <c r="D14" s="243">
        <v>11.715999999999999</v>
      </c>
      <c r="E14" s="739">
        <v>-0.27874907658212267</v>
      </c>
      <c r="F14" s="243">
        <v>6.1929999999999996</v>
      </c>
      <c r="G14" s="739">
        <v>0.64270557029177711</v>
      </c>
      <c r="H14" s="243">
        <v>0.69099999999999995</v>
      </c>
      <c r="I14" s="767">
        <v>-0.6775548296780215</v>
      </c>
      <c r="J14" s="243"/>
      <c r="K14" s="241"/>
      <c r="L14" s="224"/>
      <c r="M14" s="224"/>
      <c r="N14" s="224"/>
      <c r="O14" s="224"/>
      <c r="P14" s="224"/>
      <c r="Q14" s="224"/>
    </row>
    <row r="15" spans="1:17" s="933" customFormat="1" ht="15" customHeight="1" thickBot="1">
      <c r="A15" s="1271" t="s">
        <v>538</v>
      </c>
      <c r="B15" s="258">
        <v>5.9031798719999991</v>
      </c>
      <c r="C15" s="739">
        <v>9.3789118399110388E-2</v>
      </c>
      <c r="D15" s="243">
        <v>22.687199420000002</v>
      </c>
      <c r="E15" s="739">
        <v>0.93642876579037249</v>
      </c>
      <c r="F15" s="243">
        <v>6.9777476540000025</v>
      </c>
      <c r="G15" s="739">
        <v>0.12671526788309428</v>
      </c>
      <c r="H15" s="243">
        <v>2.8876201500000001</v>
      </c>
      <c r="I15" s="767">
        <v>3.1789003617945011</v>
      </c>
      <c r="J15" s="1252"/>
      <c r="K15" s="1253"/>
      <c r="L15" s="1251"/>
      <c r="M15" s="224"/>
      <c r="N15" s="224"/>
      <c r="O15" s="224"/>
      <c r="P15" s="224"/>
      <c r="Q15" s="1251"/>
    </row>
    <row r="16" spans="1:17" ht="13.5" thickTop="1"/>
  </sheetData>
  <mergeCells count="8">
    <mergeCell ref="J3:K3"/>
    <mergeCell ref="D3:E3"/>
    <mergeCell ref="F3:G3"/>
    <mergeCell ref="A1:I1"/>
    <mergeCell ref="A2:I2"/>
    <mergeCell ref="A3:A4"/>
    <mergeCell ref="B3:C3"/>
    <mergeCell ref="H3:I3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7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rgb="FF00B050"/>
  </sheetPr>
  <dimension ref="A1:M25"/>
  <sheetViews>
    <sheetView zoomScaleNormal="100" workbookViewId="0">
      <pane xSplit="1" ySplit="5" topLeftCell="B6" activePane="bottomRight" state="frozen"/>
      <selection activeCell="AC103" sqref="AC103"/>
      <selection pane="topRight" activeCell="AC103" sqref="AC103"/>
      <selection pane="bottomLeft" activeCell="AC103" sqref="AC103"/>
      <selection pane="bottomRight" activeCell="S17" sqref="S17"/>
    </sheetView>
  </sheetViews>
  <sheetFormatPr defaultColWidth="9.140625" defaultRowHeight="12.75"/>
  <cols>
    <col min="1" max="1" width="10.140625" style="172" customWidth="1"/>
    <col min="2" max="2" width="7.42578125" style="205" bestFit="1" customWidth="1"/>
    <col min="3" max="3" width="8.28515625" style="171" bestFit="1" customWidth="1"/>
    <col min="4" max="4" width="6.7109375" style="171" customWidth="1"/>
    <col min="5" max="5" width="7.42578125" style="205" bestFit="1" customWidth="1"/>
    <col min="6" max="6" width="8.28515625" style="171" bestFit="1" customWidth="1"/>
    <col min="7" max="7" width="6.7109375" style="171" customWidth="1"/>
    <col min="8" max="8" width="7.42578125" style="221" bestFit="1" customWidth="1"/>
    <col min="9" max="9" width="8.28515625" style="171" bestFit="1" customWidth="1"/>
    <col min="10" max="10" width="6.7109375" style="171" customWidth="1"/>
    <col min="11" max="11" width="7.42578125" style="205" bestFit="1" customWidth="1"/>
    <col min="12" max="12" width="8.28515625" style="171" bestFit="1" customWidth="1"/>
    <col min="13" max="13" width="7" style="171" bestFit="1" customWidth="1"/>
    <col min="14" max="14" width="1.28515625" style="171" customWidth="1"/>
    <col min="15" max="16384" width="9.140625" style="171"/>
  </cols>
  <sheetData>
    <row r="1" spans="1:13" s="209" customFormat="1" ht="19.899999999999999" customHeight="1">
      <c r="A1" s="1556" t="s">
        <v>438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</row>
    <row r="2" spans="1:13" s="193" customFormat="1" ht="19.899999999999999" customHeight="1">
      <c r="A2" s="1586" t="s">
        <v>417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8"/>
    </row>
    <row r="3" spans="1:13" s="203" customFormat="1" ht="21.75" customHeight="1">
      <c r="A3" s="1593" t="s">
        <v>97</v>
      </c>
      <c r="B3" s="1563" t="s">
        <v>95</v>
      </c>
      <c r="C3" s="1564"/>
      <c r="D3" s="1565"/>
      <c r="E3" s="1563" t="s">
        <v>96</v>
      </c>
      <c r="F3" s="1564"/>
      <c r="G3" s="1565"/>
      <c r="H3" s="1563" t="s">
        <v>15</v>
      </c>
      <c r="I3" s="1564"/>
      <c r="J3" s="1565"/>
      <c r="K3" s="1591" t="s">
        <v>1</v>
      </c>
      <c r="L3" s="1591"/>
      <c r="M3" s="1592"/>
    </row>
    <row r="4" spans="1:13" s="203" customFormat="1" ht="21.75" customHeight="1">
      <c r="A4" s="1594"/>
      <c r="B4" s="1150" t="s">
        <v>24</v>
      </c>
      <c r="C4" s="1151" t="s">
        <v>191</v>
      </c>
      <c r="D4" s="1152" t="s">
        <v>192</v>
      </c>
      <c r="E4" s="1150" t="s">
        <v>24</v>
      </c>
      <c r="F4" s="1151" t="s">
        <v>191</v>
      </c>
      <c r="G4" s="1152" t="s">
        <v>192</v>
      </c>
      <c r="H4" s="1150" t="s">
        <v>24</v>
      </c>
      <c r="I4" s="1151" t="s">
        <v>191</v>
      </c>
      <c r="J4" s="1152" t="s">
        <v>192</v>
      </c>
      <c r="K4" s="1153" t="s">
        <v>24</v>
      </c>
      <c r="L4" s="1151" t="s">
        <v>191</v>
      </c>
      <c r="M4" s="1154" t="s">
        <v>192</v>
      </c>
    </row>
    <row r="5" spans="1:13" s="203" customFormat="1" ht="15.75" customHeight="1">
      <c r="A5" s="945" t="s">
        <v>162</v>
      </c>
      <c r="B5" s="946" t="s">
        <v>163</v>
      </c>
      <c r="C5" s="946" t="s">
        <v>164</v>
      </c>
      <c r="D5" s="946" t="s">
        <v>165</v>
      </c>
      <c r="E5" s="946" t="s">
        <v>166</v>
      </c>
      <c r="F5" s="946" t="s">
        <v>167</v>
      </c>
      <c r="G5" s="946" t="s">
        <v>168</v>
      </c>
      <c r="H5" s="946" t="s">
        <v>169</v>
      </c>
      <c r="I5" s="946" t="s">
        <v>170</v>
      </c>
      <c r="J5" s="946" t="s">
        <v>171</v>
      </c>
      <c r="K5" s="946" t="s">
        <v>172</v>
      </c>
      <c r="L5" s="1143" t="s">
        <v>173</v>
      </c>
      <c r="M5" s="947" t="s">
        <v>174</v>
      </c>
    </row>
    <row r="6" spans="1:13" s="169" customFormat="1" ht="15.75" customHeight="1">
      <c r="A6" s="279" t="s">
        <v>431</v>
      </c>
      <c r="B6" s="276"/>
      <c r="C6" s="249"/>
      <c r="D6" s="275"/>
      <c r="E6" s="276"/>
      <c r="F6" s="249"/>
      <c r="G6" s="275"/>
      <c r="H6" s="282"/>
      <c r="I6" s="249"/>
      <c r="J6" s="283"/>
      <c r="K6" s="281"/>
      <c r="L6" s="249"/>
      <c r="M6" s="250"/>
    </row>
    <row r="7" spans="1:13" s="169" customFormat="1" ht="21.75" customHeight="1">
      <c r="A7" s="280" t="s">
        <v>433</v>
      </c>
      <c r="B7" s="277">
        <v>12.832000000000001</v>
      </c>
      <c r="C7" s="741">
        <v>0.27542754454355184</v>
      </c>
      <c r="D7" s="256">
        <v>21.119504929310885</v>
      </c>
      <c r="E7" s="277">
        <v>192.93900000000002</v>
      </c>
      <c r="F7" s="741">
        <v>0.32105400040665338</v>
      </c>
      <c r="G7" s="256">
        <v>23.177749053376136</v>
      </c>
      <c r="H7" s="775">
        <v>205.77100000000002</v>
      </c>
      <c r="I7" s="741">
        <v>0.31811348182433602</v>
      </c>
      <c r="J7" s="256">
        <v>23.037737729108333</v>
      </c>
      <c r="K7" s="272">
        <v>12.456</v>
      </c>
      <c r="L7" s="741">
        <v>0.23816015563840159</v>
      </c>
      <c r="M7" s="247">
        <v>28.290444934020758</v>
      </c>
    </row>
    <row r="8" spans="1:13" s="169" customFormat="1" ht="21.75" customHeight="1">
      <c r="A8" s="280" t="s">
        <v>434</v>
      </c>
      <c r="B8" s="277">
        <v>12.826000000000001</v>
      </c>
      <c r="C8" s="741">
        <v>0.24862272804887967</v>
      </c>
      <c r="D8" s="256">
        <v>21.109629849075858</v>
      </c>
      <c r="E8" s="277">
        <v>163.572</v>
      </c>
      <c r="F8" s="741">
        <v>9.3263174727061512E-2</v>
      </c>
      <c r="G8" s="256">
        <v>19.649893324619907</v>
      </c>
      <c r="H8" s="775">
        <v>176.398</v>
      </c>
      <c r="I8" s="741">
        <v>0.10324421865721518</v>
      </c>
      <c r="J8" s="256">
        <v>19.749191382358308</v>
      </c>
      <c r="K8" s="272">
        <v>8.9239999999999995</v>
      </c>
      <c r="L8" s="741">
        <v>-0.19835632504405257</v>
      </c>
      <c r="M8" s="247">
        <v>20.268459424470237</v>
      </c>
    </row>
    <row r="9" spans="1:13" s="169" customFormat="1" ht="21.75" customHeight="1">
      <c r="A9" s="280" t="s">
        <v>435</v>
      </c>
      <c r="B9" s="277">
        <v>16.077999999999999</v>
      </c>
      <c r="C9" s="741">
        <v>0.27106782267062263</v>
      </c>
      <c r="D9" s="256">
        <v>26.46192333646044</v>
      </c>
      <c r="E9" s="277">
        <v>210.34800000000001</v>
      </c>
      <c r="F9" s="741">
        <v>8.3531152923816118E-2</v>
      </c>
      <c r="G9" s="256">
        <v>25.269091048878465</v>
      </c>
      <c r="H9" s="775">
        <v>226.42600000000002</v>
      </c>
      <c r="I9" s="741">
        <v>9.5003137873172952E-2</v>
      </c>
      <c r="J9" s="256">
        <v>25.350233040861365</v>
      </c>
      <c r="K9" s="272">
        <v>10.009</v>
      </c>
      <c r="L9" s="741">
        <v>-8.1042772689241219E-2</v>
      </c>
      <c r="M9" s="247">
        <v>22.732744327602266</v>
      </c>
    </row>
    <row r="10" spans="1:13" s="169" customFormat="1" ht="21.75" customHeight="1">
      <c r="A10" s="280" t="s">
        <v>436</v>
      </c>
      <c r="B10" s="277">
        <v>19.023</v>
      </c>
      <c r="C10" s="741">
        <v>1.6191705796609026E-2</v>
      </c>
      <c r="D10" s="256">
        <v>31.308941885152819</v>
      </c>
      <c r="E10" s="277">
        <v>265.57299999999998</v>
      </c>
      <c r="F10" s="741">
        <v>0.12193956798429123</v>
      </c>
      <c r="G10" s="256">
        <v>31.903266573125489</v>
      </c>
      <c r="H10" s="775">
        <v>284.596</v>
      </c>
      <c r="I10" s="741">
        <v>0.11418950503548854</v>
      </c>
      <c r="J10" s="256">
        <v>31.862837847671997</v>
      </c>
      <c r="K10" s="272">
        <v>12.64</v>
      </c>
      <c r="L10" s="741">
        <v>-0.17966477234561684</v>
      </c>
      <c r="M10" s="247">
        <v>28.70835131390675</v>
      </c>
    </row>
    <row r="11" spans="1:13" s="169" customFormat="1" ht="21.75" customHeight="1" thickBot="1">
      <c r="A11" s="953" t="s">
        <v>141</v>
      </c>
      <c r="B11" s="1452">
        <v>60.759</v>
      </c>
      <c r="C11" s="1453">
        <v>0.17517338444557776</v>
      </c>
      <c r="D11" s="1454">
        <v>100</v>
      </c>
      <c r="E11" s="1452">
        <v>832.43200000000002</v>
      </c>
      <c r="F11" s="1453">
        <v>0.14579850495224664</v>
      </c>
      <c r="G11" s="1454">
        <v>100</v>
      </c>
      <c r="H11" s="1452">
        <v>893.19100000000003</v>
      </c>
      <c r="I11" s="1453">
        <v>0.1477500912568821</v>
      </c>
      <c r="J11" s="1454">
        <v>100</v>
      </c>
      <c r="K11" s="1455">
        <v>44.028999999999996</v>
      </c>
      <c r="L11" s="1453">
        <v>-7.2922305109277052E-2</v>
      </c>
      <c r="M11" s="1456">
        <v>100</v>
      </c>
    </row>
    <row r="12" spans="1:13" s="169" customFormat="1" ht="17.25" customHeight="1" thickTop="1">
      <c r="A12" s="279" t="s">
        <v>504</v>
      </c>
      <c r="B12" s="277"/>
      <c r="C12" s="741"/>
      <c r="D12" s="256"/>
      <c r="E12" s="277"/>
      <c r="F12" s="741"/>
      <c r="G12" s="256"/>
      <c r="H12" s="775"/>
      <c r="I12" s="741"/>
      <c r="J12" s="256"/>
      <c r="K12" s="272"/>
      <c r="L12" s="741"/>
      <c r="M12" s="247"/>
    </row>
    <row r="13" spans="1:13" s="169" customFormat="1" ht="21.75" customHeight="1">
      <c r="A13" s="280" t="s">
        <v>433</v>
      </c>
      <c r="B13" s="277">
        <v>15.048</v>
      </c>
      <c r="C13" s="741">
        <v>0.17269326683291764</v>
      </c>
      <c r="D13" s="256">
        <v>22.519866509031591</v>
      </c>
      <c r="E13" s="277">
        <v>208.71499999999997</v>
      </c>
      <c r="F13" s="741">
        <v>8.1766776027656154E-2</v>
      </c>
      <c r="G13" s="256">
        <v>22.418246948190397</v>
      </c>
      <c r="H13" s="775">
        <v>223.76299999999998</v>
      </c>
      <c r="I13" s="741">
        <v>8.7437005214534416E-2</v>
      </c>
      <c r="J13" s="256">
        <v>22.425052063185362</v>
      </c>
      <c r="K13" s="272">
        <v>9.9329999999999998</v>
      </c>
      <c r="L13" s="741">
        <v>-0.20255298651252407</v>
      </c>
      <c r="M13" s="247">
        <v>23.142517648703432</v>
      </c>
    </row>
    <row r="14" spans="1:13" s="169" customFormat="1" ht="21.75" customHeight="1">
      <c r="A14" s="280" t="s">
        <v>434</v>
      </c>
      <c r="B14" s="277">
        <v>14.498000000000001</v>
      </c>
      <c r="C14" s="741">
        <v>0.130360205831904</v>
      </c>
      <c r="D14" s="256">
        <v>21.696771972882779</v>
      </c>
      <c r="E14" s="277">
        <v>190.095</v>
      </c>
      <c r="F14" s="741">
        <v>0.16214877851955101</v>
      </c>
      <c r="G14" s="256">
        <v>20.418257689271275</v>
      </c>
      <c r="H14" s="775">
        <v>204.59299999999999</v>
      </c>
      <c r="I14" s="741">
        <v>0.15983741312259772</v>
      </c>
      <c r="J14" s="256">
        <v>20.503875425174328</v>
      </c>
      <c r="K14" s="272">
        <v>8.91</v>
      </c>
      <c r="L14" s="741">
        <v>-1.5688032272522801E-3</v>
      </c>
      <c r="M14" s="247">
        <v>20.759068987209059</v>
      </c>
    </row>
    <row r="15" spans="1:13" s="169" customFormat="1" ht="21.75" customHeight="1">
      <c r="A15" s="280" t="s">
        <v>435</v>
      </c>
      <c r="B15" s="277">
        <v>16.524999999999999</v>
      </c>
      <c r="C15" s="741">
        <v>2.7801965418584349E-2</v>
      </c>
      <c r="D15" s="256">
        <v>24.730249472471229</v>
      </c>
      <c r="E15" s="277">
        <v>239.595</v>
      </c>
      <c r="F15" s="741">
        <v>0.13904101774202743</v>
      </c>
      <c r="G15" s="256">
        <v>25.735092722380653</v>
      </c>
      <c r="H15" s="775">
        <v>256.12</v>
      </c>
      <c r="I15" s="741">
        <v>0.13114218331817012</v>
      </c>
      <c r="J15" s="256">
        <v>25.667801801115626</v>
      </c>
      <c r="K15" s="272">
        <v>10.753</v>
      </c>
      <c r="L15" s="741">
        <v>7.433310020981114E-2</v>
      </c>
      <c r="M15" s="247">
        <v>25.05300435684164</v>
      </c>
    </row>
    <row r="16" spans="1:13" s="169" customFormat="1" ht="21.75" customHeight="1">
      <c r="A16" s="280" t="s">
        <v>436</v>
      </c>
      <c r="B16" s="277">
        <v>20.75</v>
      </c>
      <c r="C16" s="741">
        <v>9.0784839404930887E-2</v>
      </c>
      <c r="D16" s="256">
        <v>31.053112045614405</v>
      </c>
      <c r="E16" s="277">
        <v>292.59999999999997</v>
      </c>
      <c r="F16" s="741">
        <v>0.10176862858799648</v>
      </c>
      <c r="G16" s="256">
        <v>31.428402640157682</v>
      </c>
      <c r="H16" s="775">
        <v>313.34999999999997</v>
      </c>
      <c r="I16" s="741">
        <v>0.10103444883273117</v>
      </c>
      <c r="J16" s="256">
        <v>31.403270710524676</v>
      </c>
      <c r="K16" s="272">
        <v>13.324999999999999</v>
      </c>
      <c r="L16" s="741">
        <v>5.4193037974683438E-2</v>
      </c>
      <c r="M16" s="247">
        <v>31.045409007245865</v>
      </c>
    </row>
    <row r="17" spans="1:13" s="169" customFormat="1" ht="21.75" customHeight="1" thickBot="1">
      <c r="A17" s="953" t="s">
        <v>141</v>
      </c>
      <c r="B17" s="1452">
        <v>66.820999999999998</v>
      </c>
      <c r="C17" s="1453">
        <v>9.977122730788851E-2</v>
      </c>
      <c r="D17" s="1454">
        <v>100</v>
      </c>
      <c r="E17" s="1452">
        <v>931.00499999999988</v>
      </c>
      <c r="F17" s="1453">
        <v>0.11841567839775485</v>
      </c>
      <c r="G17" s="1454">
        <v>100</v>
      </c>
      <c r="H17" s="1452">
        <v>997.82600000000002</v>
      </c>
      <c r="I17" s="1453">
        <v>0.11714739624559584</v>
      </c>
      <c r="J17" s="1454">
        <v>100</v>
      </c>
      <c r="K17" s="1455">
        <v>42.920999999999999</v>
      </c>
      <c r="L17" s="1453">
        <v>-2.5165232006177679E-2</v>
      </c>
      <c r="M17" s="1456">
        <v>100</v>
      </c>
    </row>
    <row r="18" spans="1:13" s="169" customFormat="1" ht="17.25" customHeight="1" thickTop="1">
      <c r="A18" s="279" t="s">
        <v>538</v>
      </c>
      <c r="B18" s="277"/>
      <c r="C18" s="741"/>
      <c r="D18" s="256"/>
      <c r="E18" s="277"/>
      <c r="F18" s="741"/>
      <c r="G18" s="256"/>
      <c r="H18" s="775"/>
      <c r="I18" s="741"/>
      <c r="J18" s="256"/>
      <c r="K18" s="272"/>
      <c r="L18" s="741"/>
      <c r="M18" s="247"/>
    </row>
    <row r="19" spans="1:13" s="169" customFormat="1" ht="21.75" customHeight="1">
      <c r="A19" s="280" t="s">
        <v>433</v>
      </c>
      <c r="B19" s="277">
        <v>16.006967172</v>
      </c>
      <c r="C19" s="741">
        <v>6.3727217703349243E-2</v>
      </c>
      <c r="D19" s="256">
        <v>24.081637156412107</v>
      </c>
      <c r="E19" s="277">
        <v>231.46699571799994</v>
      </c>
      <c r="F19" s="741">
        <v>0.10900987335840723</v>
      </c>
      <c r="G19" s="256">
        <v>23.593730037749726</v>
      </c>
      <c r="H19" s="775">
        <v>247.47396288999994</v>
      </c>
      <c r="I19" s="741">
        <v>0.10596462726187959</v>
      </c>
      <c r="J19" s="256">
        <v>23.624689741848044</v>
      </c>
      <c r="K19" s="272">
        <v>12.319313268</v>
      </c>
      <c r="L19" s="741">
        <v>0.24024094110540625</v>
      </c>
      <c r="M19" s="247">
        <v>27.295276838425586</v>
      </c>
    </row>
    <row r="20" spans="1:13" s="169" customFormat="1" ht="21.75" customHeight="1">
      <c r="A20" s="280" t="s">
        <v>434</v>
      </c>
      <c r="B20" s="277">
        <v>12.876897621999998</v>
      </c>
      <c r="C20" s="741">
        <v>-0.1118155868395643</v>
      </c>
      <c r="D20" s="256">
        <v>19.37261274426195</v>
      </c>
      <c r="E20" s="277">
        <v>192.60227559299994</v>
      </c>
      <c r="F20" s="741">
        <v>1.3189592535311007E-2</v>
      </c>
      <c r="G20" s="256">
        <v>19.632198883912565</v>
      </c>
      <c r="H20" s="775">
        <v>205.47917321499995</v>
      </c>
      <c r="I20" s="741">
        <v>4.3313955756059926E-3</v>
      </c>
      <c r="J20" s="256">
        <v>19.615727080644678</v>
      </c>
      <c r="K20" s="272">
        <v>9.9732090000000007</v>
      </c>
      <c r="L20" s="741">
        <v>0.11932760942760948</v>
      </c>
      <c r="M20" s="247">
        <v>22.097132745993715</v>
      </c>
    </row>
    <row r="21" spans="1:13" s="169" customFormat="1" ht="21.75" customHeight="1">
      <c r="A21" s="280" t="s">
        <v>435</v>
      </c>
      <c r="B21" s="277">
        <v>16.089179502000004</v>
      </c>
      <c r="C21" s="741">
        <v>-2.6373403812405126E-2</v>
      </c>
      <c r="D21" s="256">
        <v>24.205321267185226</v>
      </c>
      <c r="E21" s="277">
        <v>257.22433332899982</v>
      </c>
      <c r="F21" s="741">
        <v>7.3579721317222069E-2</v>
      </c>
      <c r="G21" s="256">
        <v>26.219208751032429</v>
      </c>
      <c r="H21" s="775">
        <v>273.3135128309998</v>
      </c>
      <c r="I21" s="741">
        <v>6.7130691984225332E-2</v>
      </c>
      <c r="J21" s="256">
        <v>26.091419345626406</v>
      </c>
      <c r="K21" s="272">
        <v>9.8610401179999982</v>
      </c>
      <c r="L21" s="741">
        <v>-8.2949863479959252E-2</v>
      </c>
      <c r="M21" s="247">
        <v>21.848605850034371</v>
      </c>
    </row>
    <row r="22" spans="1:13" s="169" customFormat="1" ht="21.75" customHeight="1">
      <c r="A22" s="280" t="s">
        <v>436</v>
      </c>
      <c r="B22" s="277">
        <v>21.496552717000004</v>
      </c>
      <c r="C22" s="741">
        <v>3.5978444192771263E-2</v>
      </c>
      <c r="D22" s="256">
        <v>32.340428832140731</v>
      </c>
      <c r="E22" s="277">
        <v>299.75939269300005</v>
      </c>
      <c r="F22" s="741">
        <v>2.446819102187316E-2</v>
      </c>
      <c r="G22" s="256">
        <v>30.554862327305287</v>
      </c>
      <c r="H22" s="775">
        <v>321.25594541000004</v>
      </c>
      <c r="I22" s="741">
        <v>2.5230398627732801E-2</v>
      </c>
      <c r="J22" s="256">
        <v>30.668163831880868</v>
      </c>
      <c r="K22" s="272">
        <v>12.979935768000001</v>
      </c>
      <c r="L22" s="741">
        <v>-2.5896002401500834E-2</v>
      </c>
      <c r="M22" s="247">
        <v>28.758984565546342</v>
      </c>
    </row>
    <row r="23" spans="1:13" s="169" customFormat="1" ht="21.75" customHeight="1" thickBot="1">
      <c r="A23" s="953" t="s">
        <v>141</v>
      </c>
      <c r="B23" s="1452">
        <v>66.469597012999998</v>
      </c>
      <c r="C23" s="1453">
        <v>-5.2588705197467887E-3</v>
      </c>
      <c r="D23" s="1454">
        <v>100</v>
      </c>
      <c r="E23" s="1452">
        <v>981.05299733299967</v>
      </c>
      <c r="F23" s="1453">
        <v>5.3756958698395592E-2</v>
      </c>
      <c r="G23" s="1454">
        <v>100</v>
      </c>
      <c r="H23" s="1452">
        <v>1047.5225943459998</v>
      </c>
      <c r="I23" s="1453">
        <v>4.9804870133670354E-2</v>
      </c>
      <c r="J23" s="1454">
        <v>100</v>
      </c>
      <c r="K23" s="1455">
        <v>45.133498153999994</v>
      </c>
      <c r="L23" s="1453">
        <v>5.1548150182894041E-2</v>
      </c>
      <c r="M23" s="1456">
        <v>100</v>
      </c>
    </row>
    <row r="24" spans="1:13" ht="13.9" customHeight="1" thickTop="1">
      <c r="A24" s="271" t="s">
        <v>216</v>
      </c>
    </row>
    <row r="25" spans="1:13" ht="13.9" customHeight="1">
      <c r="A25" s="271" t="s">
        <v>377</v>
      </c>
    </row>
  </sheetData>
  <mergeCells count="7">
    <mergeCell ref="A2:M2"/>
    <mergeCell ref="A1:M1"/>
    <mergeCell ref="B3:D3"/>
    <mergeCell ref="E3:G3"/>
    <mergeCell ref="H3:J3"/>
    <mergeCell ref="K3:M3"/>
    <mergeCell ref="A3:A4"/>
  </mergeCells>
  <phoneticPr fontId="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97" firstPageNumber="8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00B050"/>
  </sheetPr>
  <dimension ref="A1:AE27"/>
  <sheetViews>
    <sheetView zoomScale="106" zoomScaleNormal="106" zoomScaleSheetLayoutView="96" workbookViewId="0">
      <selection activeCell="T14" sqref="T14"/>
    </sheetView>
  </sheetViews>
  <sheetFormatPr defaultColWidth="9.140625" defaultRowHeight="12.75"/>
  <cols>
    <col min="1" max="1" width="8.7109375" style="172" customWidth="1"/>
    <col min="2" max="2" width="6.7109375" style="205" customWidth="1"/>
    <col min="3" max="3" width="8.5703125" style="171" customWidth="1"/>
    <col min="4" max="4" width="8.42578125" style="171" customWidth="1"/>
    <col min="5" max="5" width="7.5703125" style="171" bestFit="1" customWidth="1"/>
    <col min="6" max="6" width="9.140625" style="171" bestFit="1" customWidth="1"/>
    <col min="7" max="7" width="8.42578125" style="171" customWidth="1"/>
    <col min="8" max="8" width="7.5703125" style="205" bestFit="1" customWidth="1"/>
    <col min="9" max="9" width="8.28515625" style="171" customWidth="1"/>
    <col min="10" max="10" width="8.85546875" style="171" customWidth="1"/>
    <col min="11" max="11" width="8.42578125" style="171" bestFit="1" customWidth="1"/>
    <col min="12" max="12" width="10.140625" style="171" customWidth="1"/>
    <col min="13" max="13" width="8" style="171" customWidth="1"/>
    <col min="14" max="14" width="6" style="205" hidden="1" customWidth="1"/>
    <col min="15" max="16" width="7.28515625" style="171" hidden="1" customWidth="1"/>
    <col min="17" max="17" width="4.140625" style="171" customWidth="1"/>
    <col min="18" max="18" width="9.140625" style="171"/>
    <col min="19" max="19" width="8.7109375" style="171" customWidth="1"/>
    <col min="20" max="20" width="12.140625" style="171" customWidth="1"/>
    <col min="21" max="21" width="9.28515625" style="171" bestFit="1" customWidth="1"/>
    <col min="22" max="23" width="9.140625" style="171"/>
    <col min="24" max="24" width="9.140625" style="171" hidden="1" customWidth="1"/>
    <col min="25" max="16384" width="9.140625" style="171"/>
  </cols>
  <sheetData>
    <row r="1" spans="1:31" s="169" customFormat="1" ht="20.85" customHeight="1">
      <c r="A1" s="1556" t="s">
        <v>437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  <c r="N1" s="764"/>
      <c r="O1" s="764"/>
      <c r="P1" s="765"/>
    </row>
    <row r="2" spans="1:31" ht="16.5" customHeight="1">
      <c r="A2" s="1586" t="s">
        <v>417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8"/>
      <c r="N2" s="209"/>
      <c r="O2" s="209"/>
      <c r="P2" s="763"/>
    </row>
    <row r="3" spans="1:31" s="203" customFormat="1" ht="28.9" customHeight="1">
      <c r="A3" s="1593" t="s">
        <v>97</v>
      </c>
      <c r="B3" s="1597" t="s">
        <v>385</v>
      </c>
      <c r="C3" s="1598"/>
      <c r="D3" s="1599"/>
      <c r="E3" s="1597" t="s">
        <v>389</v>
      </c>
      <c r="F3" s="1598"/>
      <c r="G3" s="1599"/>
      <c r="H3" s="1597" t="s">
        <v>390</v>
      </c>
      <c r="I3" s="1598"/>
      <c r="J3" s="1599"/>
      <c r="K3" s="1597" t="s">
        <v>391</v>
      </c>
      <c r="L3" s="1598"/>
      <c r="M3" s="1600"/>
      <c r="N3" s="1595" t="s">
        <v>11</v>
      </c>
      <c r="O3" s="1595"/>
      <c r="P3" s="1596"/>
    </row>
    <row r="4" spans="1:31" s="203" customFormat="1" ht="21.75" customHeight="1">
      <c r="A4" s="1594"/>
      <c r="B4" s="1150" t="s">
        <v>24</v>
      </c>
      <c r="C4" s="1151" t="s">
        <v>191</v>
      </c>
      <c r="D4" s="1152" t="s">
        <v>192</v>
      </c>
      <c r="E4" s="1150" t="s">
        <v>24</v>
      </c>
      <c r="F4" s="1151" t="s">
        <v>191</v>
      </c>
      <c r="G4" s="1152" t="s">
        <v>192</v>
      </c>
      <c r="H4" s="1150" t="s">
        <v>24</v>
      </c>
      <c r="I4" s="1151" t="s">
        <v>191</v>
      </c>
      <c r="J4" s="1152" t="s">
        <v>192</v>
      </c>
      <c r="K4" s="1150" t="s">
        <v>24</v>
      </c>
      <c r="L4" s="1151" t="s">
        <v>191</v>
      </c>
      <c r="M4" s="1154" t="s">
        <v>192</v>
      </c>
      <c r="N4" s="1128" t="s">
        <v>117</v>
      </c>
      <c r="O4" s="1129" t="s">
        <v>191</v>
      </c>
      <c r="P4" s="967" t="s">
        <v>192</v>
      </c>
    </row>
    <row r="5" spans="1:31" s="203" customFormat="1" ht="16.149999999999999" customHeight="1">
      <c r="A5" s="945" t="s">
        <v>162</v>
      </c>
      <c r="B5" s="946" t="s">
        <v>163</v>
      </c>
      <c r="C5" s="958" t="s">
        <v>164</v>
      </c>
      <c r="D5" s="958" t="s">
        <v>165</v>
      </c>
      <c r="E5" s="958" t="s">
        <v>166</v>
      </c>
      <c r="F5" s="958" t="s">
        <v>167</v>
      </c>
      <c r="G5" s="958" t="s">
        <v>168</v>
      </c>
      <c r="H5" s="958" t="s">
        <v>169</v>
      </c>
      <c r="I5" s="958" t="s">
        <v>170</v>
      </c>
      <c r="J5" s="958" t="s">
        <v>171</v>
      </c>
      <c r="K5" s="958" t="s">
        <v>172</v>
      </c>
      <c r="L5" s="958" t="s">
        <v>173</v>
      </c>
      <c r="M5" s="959" t="s">
        <v>174</v>
      </c>
      <c r="N5" s="712" t="s">
        <v>175</v>
      </c>
      <c r="O5" s="704" t="s">
        <v>176</v>
      </c>
      <c r="P5" s="698" t="s">
        <v>177</v>
      </c>
    </row>
    <row r="6" spans="1:31" s="169" customFormat="1" ht="16.149999999999999" customHeight="1">
      <c r="A6" s="169" t="s">
        <v>431</v>
      </c>
      <c r="N6" s="281"/>
      <c r="O6" s="249"/>
      <c r="P6" s="250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</row>
    <row r="7" spans="1:31" s="168" customFormat="1" ht="16.149999999999999" customHeight="1">
      <c r="A7" s="168" t="s">
        <v>17</v>
      </c>
      <c r="B7" s="167">
        <v>1.151</v>
      </c>
      <c r="C7" s="740">
        <v>0.1174757281553398</v>
      </c>
      <c r="D7" s="733">
        <v>21.676082862523543</v>
      </c>
      <c r="E7" s="258">
        <v>4.9180000000000001</v>
      </c>
      <c r="F7" s="740">
        <v>0.12753038061601496</v>
      </c>
      <c r="G7" s="733">
        <v>30.27579413937454</v>
      </c>
      <c r="H7" s="167">
        <v>0.76500000000000001</v>
      </c>
      <c r="I7" s="740">
        <v>0.28658570426692359</v>
      </c>
      <c r="J7" s="733">
        <v>20.291777188328915</v>
      </c>
      <c r="K7" s="278">
        <v>0.56099999999999994</v>
      </c>
      <c r="L7" s="740">
        <v>0.42038980965257411</v>
      </c>
      <c r="M7" s="694">
        <v>26.178254783014467</v>
      </c>
      <c r="N7" s="273"/>
      <c r="O7" s="240"/>
      <c r="P7" s="241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</row>
    <row r="8" spans="1:31" s="168" customFormat="1" ht="16.149999999999999" customHeight="1">
      <c r="A8" s="168" t="s">
        <v>18</v>
      </c>
      <c r="B8" s="167">
        <v>1.1779999999999999</v>
      </c>
      <c r="C8" s="740">
        <v>-5.6845476381105021E-2</v>
      </c>
      <c r="D8" s="733">
        <v>22.184557438794727</v>
      </c>
      <c r="E8" s="258">
        <v>2.988</v>
      </c>
      <c r="F8" s="740">
        <v>6.9346388885706128E-3</v>
      </c>
      <c r="G8" s="733">
        <v>18.39448411721251</v>
      </c>
      <c r="H8" s="167">
        <v>0.82699999999999996</v>
      </c>
      <c r="I8" s="740">
        <v>0.56179181145188084</v>
      </c>
      <c r="J8" s="733">
        <v>21.936339522546419</v>
      </c>
      <c r="K8" s="278">
        <v>0.377</v>
      </c>
      <c r="L8" s="740">
        <v>0.21911389498805145</v>
      </c>
      <c r="M8" s="694">
        <v>17.592160522631829</v>
      </c>
      <c r="N8" s="273"/>
      <c r="O8" s="240"/>
      <c r="P8" s="241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</row>
    <row r="9" spans="1:31" s="168" customFormat="1" ht="16.149999999999999" customHeight="1">
      <c r="A9" s="168" t="s">
        <v>19</v>
      </c>
      <c r="B9" s="167">
        <v>1.4529999999999998</v>
      </c>
      <c r="C9" s="740">
        <v>0.25043029259896726</v>
      </c>
      <c r="D9" s="733">
        <v>27.363465160075329</v>
      </c>
      <c r="E9" s="258">
        <v>3.0570000000000004</v>
      </c>
      <c r="F9" s="740">
        <v>-0.39821318332430417</v>
      </c>
      <c r="G9" s="733">
        <v>18.81925634080276</v>
      </c>
      <c r="H9" s="167">
        <v>1.006</v>
      </c>
      <c r="I9" s="740">
        <v>0.74722545460861112</v>
      </c>
      <c r="J9" s="733">
        <v>26.684350132625998</v>
      </c>
      <c r="K9" s="278">
        <v>0.54899999999999993</v>
      </c>
      <c r="L9" s="740">
        <v>0.19572153845148596</v>
      </c>
      <c r="M9" s="694">
        <v>25.618292113859074</v>
      </c>
      <c r="N9" s="273"/>
      <c r="O9" s="240"/>
      <c r="P9" s="241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</row>
    <row r="10" spans="1:31" s="168" customFormat="1" ht="16.149999999999999" customHeight="1">
      <c r="A10" s="168" t="s">
        <v>20</v>
      </c>
      <c r="B10" s="167">
        <v>1.528</v>
      </c>
      <c r="C10" s="771">
        <v>0.21269841269841272</v>
      </c>
      <c r="D10" s="1421">
        <v>28.775894538606408</v>
      </c>
      <c r="E10" s="962">
        <v>5.2810000000000006</v>
      </c>
      <c r="F10" s="771">
        <v>1.030101460545953E-2</v>
      </c>
      <c r="G10" s="1421">
        <v>32.510465402610194</v>
      </c>
      <c r="H10" s="167">
        <v>1.1719999999999999</v>
      </c>
      <c r="I10" s="771">
        <v>0.57837039989872552</v>
      </c>
      <c r="J10" s="1421">
        <v>31.087533156498676</v>
      </c>
      <c r="K10" s="588">
        <v>0.65600000000000003</v>
      </c>
      <c r="L10" s="771">
        <v>9.2530323545527413E-2</v>
      </c>
      <c r="M10" s="1457">
        <v>30.611292580494641</v>
      </c>
      <c r="N10" s="742"/>
      <c r="O10" s="252"/>
      <c r="P10" s="241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</row>
    <row r="11" spans="1:31" s="169" customFormat="1" ht="16.149999999999999" customHeight="1" thickBot="1">
      <c r="A11" s="1458" t="s">
        <v>141</v>
      </c>
      <c r="B11" s="1459">
        <v>5.31</v>
      </c>
      <c r="C11" s="1460">
        <v>0.12954690491384813</v>
      </c>
      <c r="D11" s="1461">
        <v>100.00000000000001</v>
      </c>
      <c r="E11" s="1462">
        <v>16.244</v>
      </c>
      <c r="F11" s="1460">
        <v>-7.8939594336510474E-2</v>
      </c>
      <c r="G11" s="1461">
        <v>100</v>
      </c>
      <c r="H11" s="1459">
        <v>3.7699999999999996</v>
      </c>
      <c r="I11" s="1460">
        <v>0.54354790832881239</v>
      </c>
      <c r="J11" s="1461">
        <v>100</v>
      </c>
      <c r="K11" s="1463">
        <v>2.1429999999999998</v>
      </c>
      <c r="L11" s="1460">
        <v>0.21500344997479848</v>
      </c>
      <c r="M11" s="1464">
        <v>100</v>
      </c>
      <c r="N11" s="743">
        <f>SUM(N7:N10)</f>
        <v>0</v>
      </c>
      <c r="O11" s="701" t="e">
        <f>100*(N11-#REF!)/#REF!</f>
        <v>#REF!</v>
      </c>
      <c r="P11" s="703">
        <f>SUM(P7:P10)</f>
        <v>0</v>
      </c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</row>
    <row r="12" spans="1:31" s="169" customFormat="1" ht="16.149999999999999" customHeight="1" thickTop="1">
      <c r="A12" s="169" t="s">
        <v>504</v>
      </c>
      <c r="B12" s="167"/>
      <c r="C12" s="740"/>
      <c r="D12" s="733"/>
      <c r="E12" s="258"/>
      <c r="F12" s="740"/>
      <c r="G12" s="733"/>
      <c r="H12" s="167"/>
      <c r="I12" s="740"/>
      <c r="J12" s="733"/>
      <c r="K12" s="278"/>
      <c r="L12" s="740"/>
      <c r="M12" s="694"/>
      <c r="N12" s="281"/>
      <c r="O12" s="249"/>
      <c r="P12" s="250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</row>
    <row r="13" spans="1:31" s="168" customFormat="1" ht="16.149999999999999" customHeight="1">
      <c r="A13" s="168" t="s">
        <v>17</v>
      </c>
      <c r="B13" s="167">
        <v>1.3240000000000001</v>
      </c>
      <c r="C13" s="740">
        <v>0.15030408340573417</v>
      </c>
      <c r="D13" s="733">
        <v>24.532147489345935</v>
      </c>
      <c r="E13" s="258">
        <v>4.2789999999999999</v>
      </c>
      <c r="F13" s="740">
        <v>-0.12993086620577474</v>
      </c>
      <c r="G13" s="733">
        <v>36.52270399453738</v>
      </c>
      <c r="H13" s="167">
        <v>1.393</v>
      </c>
      <c r="I13" s="740">
        <v>0.82091503267973853</v>
      </c>
      <c r="J13" s="733">
        <v>22.493137413208466</v>
      </c>
      <c r="K13" s="278">
        <v>0.14300000000000002</v>
      </c>
      <c r="L13" s="740">
        <v>-0.74509803921568618</v>
      </c>
      <c r="M13" s="694">
        <v>20.694645441389291</v>
      </c>
      <c r="N13" s="273"/>
      <c r="O13" s="240"/>
      <c r="P13" s="241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</row>
    <row r="14" spans="1:31" s="168" customFormat="1" ht="16.149999999999999" customHeight="1">
      <c r="A14" s="168" t="s">
        <v>18</v>
      </c>
      <c r="B14" s="167">
        <v>1.2529999999999999</v>
      </c>
      <c r="C14" s="740">
        <v>6.3667232597623052E-2</v>
      </c>
      <c r="D14" s="733">
        <v>23.216601815823601</v>
      </c>
      <c r="E14" s="258">
        <v>3.1890000000000001</v>
      </c>
      <c r="F14" s="740">
        <v>6.7269076305220901E-2</v>
      </c>
      <c r="G14" s="733">
        <v>27.219187435984974</v>
      </c>
      <c r="H14" s="167">
        <v>1.4279999999999999</v>
      </c>
      <c r="I14" s="740">
        <v>0.72672309552599756</v>
      </c>
      <c r="J14" s="733">
        <v>23.058291619570483</v>
      </c>
      <c r="K14" s="278">
        <v>0.13700000000000001</v>
      </c>
      <c r="L14" s="740">
        <v>-0.63660477453580899</v>
      </c>
      <c r="M14" s="694">
        <v>19.826338639652676</v>
      </c>
      <c r="N14" s="273"/>
      <c r="O14" s="240"/>
      <c r="P14" s="241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</row>
    <row r="15" spans="1:31" s="168" customFormat="1" ht="16.149999999999999" customHeight="1">
      <c r="A15" s="168" t="s">
        <v>19</v>
      </c>
      <c r="B15" s="167">
        <v>1.361</v>
      </c>
      <c r="C15" s="740">
        <v>-6.3317274604266949E-2</v>
      </c>
      <c r="D15" s="733">
        <v>25.217713544561793</v>
      </c>
      <c r="E15" s="258">
        <v>1.506</v>
      </c>
      <c r="F15" s="740">
        <v>-0.50736015701668313</v>
      </c>
      <c r="G15" s="733">
        <v>12.85421645612837</v>
      </c>
      <c r="H15" s="167">
        <v>1.5449999999999999</v>
      </c>
      <c r="I15" s="740">
        <v>0.53578528827037764</v>
      </c>
      <c r="J15" s="733">
        <v>24.947521395123527</v>
      </c>
      <c r="K15" s="278">
        <v>0.16999999999999998</v>
      </c>
      <c r="L15" s="740">
        <v>-0.69034608378870677</v>
      </c>
      <c r="M15" s="694">
        <v>24.602026049204049</v>
      </c>
      <c r="N15" s="273"/>
      <c r="O15" s="240"/>
      <c r="P15" s="241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</row>
    <row r="16" spans="1:31" s="168" customFormat="1" ht="16.149999999999999" customHeight="1">
      <c r="A16" s="168" t="s">
        <v>20</v>
      </c>
      <c r="B16" s="167">
        <v>1.4590000000000001</v>
      </c>
      <c r="C16" s="771">
        <v>-4.5157068062827189E-2</v>
      </c>
      <c r="D16" s="1421">
        <v>27.033537150268668</v>
      </c>
      <c r="E16" s="962">
        <v>2.742</v>
      </c>
      <c r="F16" s="771">
        <v>-0.4807801552736225</v>
      </c>
      <c r="G16" s="1421">
        <v>23.403892113349261</v>
      </c>
      <c r="H16" s="167">
        <v>1.827</v>
      </c>
      <c r="I16" s="771">
        <v>0.55887372013651881</v>
      </c>
      <c r="J16" s="1421">
        <v>29.501049572097529</v>
      </c>
      <c r="K16" s="588">
        <v>0.24099999999999999</v>
      </c>
      <c r="L16" s="771">
        <v>-0.63262195121951226</v>
      </c>
      <c r="M16" s="1457">
        <v>34.87698986975397</v>
      </c>
      <c r="N16" s="742"/>
      <c r="O16" s="252"/>
      <c r="P16" s="241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</row>
    <row r="17" spans="1:31" s="169" customFormat="1" ht="16.149999999999999" customHeight="1" thickBot="1">
      <c r="A17" s="1458" t="s">
        <v>141</v>
      </c>
      <c r="B17" s="1459">
        <v>5.3970000000000002</v>
      </c>
      <c r="C17" s="1460">
        <v>1.6384180790960573E-2</v>
      </c>
      <c r="D17" s="1461">
        <v>100</v>
      </c>
      <c r="E17" s="1462">
        <v>11.716000000000001</v>
      </c>
      <c r="F17" s="1460">
        <v>-0.27874907658212256</v>
      </c>
      <c r="G17" s="1461">
        <v>100</v>
      </c>
      <c r="H17" s="1459">
        <v>6.1929999999999996</v>
      </c>
      <c r="I17" s="1460">
        <v>0.64270557029177722</v>
      </c>
      <c r="J17" s="1461">
        <v>100</v>
      </c>
      <c r="K17" s="1463">
        <v>0.69100000000000006</v>
      </c>
      <c r="L17" s="1460">
        <v>-0.67755482967802139</v>
      </c>
      <c r="M17" s="1464">
        <v>100</v>
      </c>
      <c r="N17" s="743">
        <f>SUM(N13:N16)</f>
        <v>0</v>
      </c>
      <c r="O17" s="701" t="e">
        <f>100*(N17-N11)/N11</f>
        <v>#DIV/0!</v>
      </c>
      <c r="P17" s="703">
        <f>SUM(P13:P16)</f>
        <v>0</v>
      </c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</row>
    <row r="18" spans="1:31" s="169" customFormat="1" ht="16.149999999999999" customHeight="1" thickTop="1">
      <c r="A18" s="169" t="s">
        <v>538</v>
      </c>
      <c r="B18" s="167"/>
      <c r="C18" s="740"/>
      <c r="D18" s="733"/>
      <c r="E18" s="258"/>
      <c r="F18" s="740"/>
      <c r="G18" s="733"/>
      <c r="H18" s="167"/>
      <c r="I18" s="740"/>
      <c r="J18" s="733"/>
      <c r="K18" s="278"/>
      <c r="L18" s="740"/>
      <c r="M18" s="694"/>
      <c r="N18" s="281"/>
      <c r="O18" s="249"/>
      <c r="P18" s="250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</row>
    <row r="19" spans="1:31" s="168" customFormat="1" ht="16.149999999999999" customHeight="1">
      <c r="A19" s="168" t="s">
        <v>17</v>
      </c>
      <c r="B19" s="167">
        <v>1.4417382459999999</v>
      </c>
      <c r="C19" s="740">
        <v>8.8926167673715875E-2</v>
      </c>
      <c r="D19" s="733">
        <v>24.423078362196993</v>
      </c>
      <c r="E19" s="258">
        <v>5.1094060000000008</v>
      </c>
      <c r="F19" s="740">
        <v>0.19406543584949776</v>
      </c>
      <c r="G19" s="733">
        <v>22.521096171507981</v>
      </c>
      <c r="H19" s="167">
        <v>1.831264717</v>
      </c>
      <c r="I19" s="740">
        <v>0.31461932304379042</v>
      </c>
      <c r="J19" s="733">
        <v>26.244352874386703</v>
      </c>
      <c r="K19" s="278">
        <v>0.87852499999999989</v>
      </c>
      <c r="L19" s="740">
        <v>5.1435314685314673</v>
      </c>
      <c r="M19" s="694">
        <v>30.423842277177624</v>
      </c>
      <c r="N19" s="273"/>
      <c r="O19" s="240"/>
      <c r="P19" s="241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</row>
    <row r="20" spans="1:31" s="168" customFormat="1" ht="16.149999999999999" customHeight="1">
      <c r="A20" s="168" t="s">
        <v>18</v>
      </c>
      <c r="B20" s="167">
        <v>1.4068176159999999</v>
      </c>
      <c r="C20" s="740">
        <v>0.12275947007182762</v>
      </c>
      <c r="D20" s="733">
        <v>23.831522103414574</v>
      </c>
      <c r="E20" s="258">
        <v>4.6467340000000004</v>
      </c>
      <c r="F20" s="740">
        <v>0.45711320163060531</v>
      </c>
      <c r="G20" s="733">
        <v>20.48174353289129</v>
      </c>
      <c r="H20" s="167">
        <v>1.672971837</v>
      </c>
      <c r="I20" s="740">
        <v>0.1715489054621849</v>
      </c>
      <c r="J20" s="733">
        <v>23.975814545843704</v>
      </c>
      <c r="K20" s="278">
        <v>0.85550499999999996</v>
      </c>
      <c r="L20" s="740">
        <v>5.2445620437956197</v>
      </c>
      <c r="M20" s="694">
        <v>29.626646011595394</v>
      </c>
      <c r="N20" s="273"/>
      <c r="O20" s="240"/>
      <c r="P20" s="241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</row>
    <row r="21" spans="1:31" s="168" customFormat="1" ht="16.149999999999999" customHeight="1">
      <c r="A21" s="168" t="s">
        <v>19</v>
      </c>
      <c r="B21" s="167">
        <v>1.4913517720000002</v>
      </c>
      <c r="C21" s="740">
        <v>9.577646730345353E-2</v>
      </c>
      <c r="D21" s="733">
        <v>25.263532610174892</v>
      </c>
      <c r="E21" s="258">
        <v>5.6956769999999981</v>
      </c>
      <c r="F21" s="740">
        <v>2.7819900398406361</v>
      </c>
      <c r="G21" s="733">
        <v>25.105245008685159</v>
      </c>
      <c r="H21" s="167">
        <v>1.6405413300000002</v>
      </c>
      <c r="I21" s="740">
        <v>6.1839048543689525E-2</v>
      </c>
      <c r="J21" s="733">
        <v>23.511044126962062</v>
      </c>
      <c r="K21" s="278">
        <v>0.68911600000000006</v>
      </c>
      <c r="L21" s="740">
        <v>3.053623529411766</v>
      </c>
      <c r="M21" s="694">
        <v>23.864496166505834</v>
      </c>
      <c r="N21" s="273"/>
      <c r="O21" s="240"/>
      <c r="P21" s="241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</row>
    <row r="22" spans="1:31" s="168" customFormat="1" ht="16.149999999999999" customHeight="1">
      <c r="A22" s="168" t="s">
        <v>20</v>
      </c>
      <c r="B22" s="167">
        <v>1.5632722380000001</v>
      </c>
      <c r="C22" s="771">
        <v>7.1468291980808812E-2</v>
      </c>
      <c r="D22" s="1421">
        <v>26.481866924213559</v>
      </c>
      <c r="E22" s="962">
        <v>7.2353824200000005</v>
      </c>
      <c r="F22" s="771">
        <v>1.6387244420131293</v>
      </c>
      <c r="G22" s="1421">
        <v>31.891915286915573</v>
      </c>
      <c r="H22" s="167">
        <v>1.8329697700000001</v>
      </c>
      <c r="I22" s="771">
        <v>3.2675259989053619E-3</v>
      </c>
      <c r="J22" s="1421">
        <v>26.268788452807524</v>
      </c>
      <c r="K22" s="588">
        <v>0.46447415000000003</v>
      </c>
      <c r="L22" s="771">
        <v>0.9272786307053944</v>
      </c>
      <c r="M22" s="1457">
        <v>16.085015544721145</v>
      </c>
      <c r="N22" s="742"/>
      <c r="O22" s="252"/>
      <c r="P22" s="241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</row>
    <row r="23" spans="1:31" s="169" customFormat="1" ht="16.149999999999999" customHeight="1" thickBot="1">
      <c r="A23" s="1458" t="s">
        <v>141</v>
      </c>
      <c r="B23" s="1459">
        <v>5.9031798719999991</v>
      </c>
      <c r="C23" s="1460">
        <v>9.3789118399110388E-2</v>
      </c>
      <c r="D23" s="1461">
        <v>100.00000000000001</v>
      </c>
      <c r="E23" s="1462">
        <v>22.687199419999999</v>
      </c>
      <c r="F23" s="1460">
        <v>0.93642876579037182</v>
      </c>
      <c r="G23" s="1461">
        <v>99.999999999999986</v>
      </c>
      <c r="H23" s="1459">
        <v>6.9777476540000007</v>
      </c>
      <c r="I23" s="1460">
        <v>0.12671526788309401</v>
      </c>
      <c r="J23" s="1461">
        <v>100</v>
      </c>
      <c r="K23" s="1463">
        <v>2.8876201500000001</v>
      </c>
      <c r="L23" s="1460">
        <v>3.1789003617945006</v>
      </c>
      <c r="M23" s="1464">
        <v>100</v>
      </c>
      <c r="N23" s="743">
        <f>SUM(N19:N22)</f>
        <v>0</v>
      </c>
      <c r="O23" s="701" t="e">
        <f>100*(N23-N17)/N17</f>
        <v>#DIV/0!</v>
      </c>
      <c r="P23" s="703">
        <f>SUM(P19:P22)</f>
        <v>0</v>
      </c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</row>
    <row r="24" spans="1:31" ht="9" customHeight="1" thickTop="1">
      <c r="A24" s="248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169"/>
      <c r="N24" s="222"/>
      <c r="O24" s="222"/>
      <c r="P24" s="270"/>
    </row>
    <row r="25" spans="1:31" ht="11.25" customHeight="1">
      <c r="A25" s="254" t="s">
        <v>216</v>
      </c>
      <c r="B25" s="167"/>
      <c r="C25" s="168"/>
      <c r="D25" s="168"/>
      <c r="E25" s="168"/>
      <c r="F25" s="168"/>
      <c r="G25" s="168"/>
      <c r="H25" s="167"/>
      <c r="I25" s="168"/>
      <c r="J25" s="168"/>
      <c r="K25" s="168"/>
      <c r="L25" s="168"/>
      <c r="M25" s="169"/>
      <c r="P25" s="228"/>
    </row>
    <row r="26" spans="1:31" ht="11.25" customHeight="1">
      <c r="A26" s="254" t="s">
        <v>377</v>
      </c>
      <c r="B26" s="167"/>
      <c r="C26" s="168"/>
      <c r="D26" s="168"/>
      <c r="E26" s="168"/>
      <c r="F26" s="168"/>
      <c r="G26" s="168"/>
      <c r="H26" s="167"/>
      <c r="I26" s="168"/>
      <c r="J26" s="168"/>
      <c r="K26" s="168"/>
      <c r="L26" s="168"/>
      <c r="M26" s="169"/>
      <c r="P26" s="228"/>
    </row>
    <row r="27" spans="1:31" ht="11.25" customHeight="1">
      <c r="A27" s="229" t="s">
        <v>378</v>
      </c>
      <c r="B27" s="167"/>
      <c r="C27" s="168"/>
      <c r="D27" s="168"/>
      <c r="E27" s="168"/>
      <c r="F27" s="168"/>
      <c r="G27" s="168"/>
      <c r="H27" s="167"/>
      <c r="I27" s="168"/>
      <c r="J27" s="168"/>
      <c r="K27" s="168"/>
      <c r="L27" s="168"/>
      <c r="M27" s="169"/>
      <c r="P27" s="228"/>
    </row>
  </sheetData>
  <mergeCells count="8">
    <mergeCell ref="N3:P3"/>
    <mergeCell ref="A3:A4"/>
    <mergeCell ref="B3:D3"/>
    <mergeCell ref="A1:M1"/>
    <mergeCell ref="A2:M2"/>
    <mergeCell ref="E3:G3"/>
    <mergeCell ref="H3:J3"/>
    <mergeCell ref="K3:M3"/>
  </mergeCells>
  <phoneticPr fontId="4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85" firstPageNumber="9" orientation="portrait" useFirstPageNumber="1" r:id="rId1"/>
  <headerFooter scaleWithDoc="0" alignWithMargins="0"/>
  <colBreaks count="1" manualBreakCount="1">
    <brk id="13" max="17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00B050"/>
  </sheetPr>
  <dimension ref="A1:M23"/>
  <sheetViews>
    <sheetView view="pageBreakPreview" zoomScaleNormal="100" zoomScaleSheetLayoutView="100" workbookViewId="0">
      <selection activeCell="N38" sqref="N38"/>
    </sheetView>
  </sheetViews>
  <sheetFormatPr defaultColWidth="9.140625" defaultRowHeight="12.75"/>
  <cols>
    <col min="1" max="1" width="9.28515625" style="171" customWidth="1"/>
    <col min="2" max="2" width="7.140625" style="205" customWidth="1"/>
    <col min="3" max="3" width="9.140625" style="205" bestFit="1" customWidth="1"/>
    <col min="4" max="4" width="7" style="223" bestFit="1" customWidth="1"/>
    <col min="5" max="5" width="7.5703125" style="205" bestFit="1" customWidth="1"/>
    <col min="6" max="6" width="9.140625" style="205" bestFit="1" customWidth="1"/>
    <col min="7" max="7" width="7" style="223" bestFit="1" customWidth="1"/>
    <col min="8" max="8" width="7.5703125" style="205" customWidth="1"/>
    <col min="9" max="9" width="9.140625" style="205" bestFit="1" customWidth="1"/>
    <col min="10" max="10" width="7" style="223" bestFit="1" customWidth="1"/>
    <col min="11" max="11" width="6.85546875" style="205" customWidth="1"/>
    <col min="12" max="12" width="9.140625" style="205" bestFit="1" customWidth="1"/>
    <col min="13" max="13" width="7" style="223" bestFit="1" customWidth="1"/>
    <col min="14" max="15" width="9.140625" style="171"/>
    <col min="16" max="16" width="10.7109375" style="171" bestFit="1" customWidth="1"/>
    <col min="17" max="17" width="11.85546875" style="171" bestFit="1" customWidth="1"/>
    <col min="18" max="16384" width="9.140625" style="171"/>
  </cols>
  <sheetData>
    <row r="1" spans="1:13" s="193" customFormat="1" ht="21.4" customHeight="1">
      <c r="A1" s="1556" t="s">
        <v>541</v>
      </c>
      <c r="B1" s="1557"/>
      <c r="C1" s="1557"/>
      <c r="D1" s="1557"/>
      <c r="E1" s="1557"/>
      <c r="F1" s="1557"/>
      <c r="G1" s="1557"/>
      <c r="H1" s="1557"/>
      <c r="I1" s="1557"/>
      <c r="J1" s="1557"/>
      <c r="K1" s="1557"/>
      <c r="L1" s="1557"/>
      <c r="M1" s="1558"/>
    </row>
    <row r="2" spans="1:13" s="162" customFormat="1" ht="16.5">
      <c r="A2" s="1586" t="s">
        <v>417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8"/>
    </row>
    <row r="3" spans="1:13" s="168" customFormat="1" ht="15" customHeight="1">
      <c r="A3" s="1578" t="s">
        <v>316</v>
      </c>
      <c r="B3" s="1585" t="s">
        <v>121</v>
      </c>
      <c r="C3" s="1585"/>
      <c r="D3" s="1602"/>
      <c r="E3" s="1585" t="s">
        <v>384</v>
      </c>
      <c r="F3" s="1585"/>
      <c r="G3" s="1602"/>
      <c r="H3" s="1585" t="s">
        <v>300</v>
      </c>
      <c r="I3" s="1585"/>
      <c r="J3" s="1602"/>
      <c r="K3" s="1563" t="s">
        <v>1</v>
      </c>
      <c r="L3" s="1564"/>
      <c r="M3" s="1603"/>
    </row>
    <row r="4" spans="1:13" s="168" customFormat="1" ht="15" customHeight="1">
      <c r="A4" s="1601"/>
      <c r="B4" s="1150" t="s">
        <v>24</v>
      </c>
      <c r="C4" s="1151" t="s">
        <v>191</v>
      </c>
      <c r="D4" s="1152" t="s">
        <v>192</v>
      </c>
      <c r="E4" s="1150" t="s">
        <v>24</v>
      </c>
      <c r="F4" s="1151" t="s">
        <v>191</v>
      </c>
      <c r="G4" s="1152" t="s">
        <v>192</v>
      </c>
      <c r="H4" s="1150" t="s">
        <v>24</v>
      </c>
      <c r="I4" s="1151" t="s">
        <v>191</v>
      </c>
      <c r="J4" s="1152" t="s">
        <v>192</v>
      </c>
      <c r="K4" s="1150" t="s">
        <v>24</v>
      </c>
      <c r="L4" s="1151" t="s">
        <v>191</v>
      </c>
      <c r="M4" s="1154" t="s">
        <v>192</v>
      </c>
    </row>
    <row r="5" spans="1:13" ht="17.649999999999999" customHeight="1">
      <c r="A5" s="945" t="s">
        <v>162</v>
      </c>
      <c r="B5" s="946" t="s">
        <v>163</v>
      </c>
      <c r="C5" s="946" t="s">
        <v>164</v>
      </c>
      <c r="D5" s="946" t="s">
        <v>165</v>
      </c>
      <c r="E5" s="946" t="s">
        <v>166</v>
      </c>
      <c r="F5" s="946" t="s">
        <v>167</v>
      </c>
      <c r="G5" s="946" t="s">
        <v>168</v>
      </c>
      <c r="H5" s="946" t="s">
        <v>169</v>
      </c>
      <c r="I5" s="946" t="s">
        <v>170</v>
      </c>
      <c r="J5" s="946" t="s">
        <v>171</v>
      </c>
      <c r="K5" s="946" t="s">
        <v>172</v>
      </c>
      <c r="L5" s="946" t="s">
        <v>173</v>
      </c>
      <c r="M5" s="947" t="s">
        <v>174</v>
      </c>
    </row>
    <row r="6" spans="1:13" s="169" customFormat="1" ht="16.5" customHeight="1">
      <c r="A6" s="592">
        <v>45383</v>
      </c>
      <c r="B6" s="277">
        <v>5.3435242849999982</v>
      </c>
      <c r="C6" s="961">
        <v>9.2521832958494823E-2</v>
      </c>
      <c r="D6" s="277">
        <v>8.0390502201403784</v>
      </c>
      <c r="E6" s="277">
        <v>73.360593684000037</v>
      </c>
      <c r="F6" s="961">
        <v>7.0441884697883289E-2</v>
      </c>
      <c r="G6" s="277">
        <v>7.4777401305975673</v>
      </c>
      <c r="H6" s="277">
        <v>78.704117969000038</v>
      </c>
      <c r="I6" s="961">
        <v>7.1912698422859425E-2</v>
      </c>
      <c r="J6" s="277">
        <v>7.5133575536991062</v>
      </c>
      <c r="K6" s="259">
        <v>4.034683083</v>
      </c>
      <c r="L6" s="961">
        <v>0.26518754562558794</v>
      </c>
      <c r="M6" s="277">
        <v>8.939442427514166</v>
      </c>
    </row>
    <row r="7" spans="1:13" s="169" customFormat="1" ht="16.5" customHeight="1">
      <c r="A7" s="592">
        <v>45413</v>
      </c>
      <c r="B7" s="277">
        <v>5.5651542440000004</v>
      </c>
      <c r="C7" s="961">
        <v>6.9810504421376471E-2</v>
      </c>
      <c r="D7" s="277">
        <v>8.3724807943571218</v>
      </c>
      <c r="E7" s="277">
        <v>78.402971506999975</v>
      </c>
      <c r="F7" s="961">
        <v>0.10101069382109229</v>
      </c>
      <c r="G7" s="277">
        <v>7.9917162192194544</v>
      </c>
      <c r="H7" s="277">
        <v>83.968125750999974</v>
      </c>
      <c r="I7" s="961">
        <v>9.88866375831019E-2</v>
      </c>
      <c r="J7" s="277">
        <v>8.0158772903054949</v>
      </c>
      <c r="K7" s="259">
        <v>4.3062750809999999</v>
      </c>
      <c r="L7" s="961">
        <v>0.23036430885714282</v>
      </c>
      <c r="M7" s="277">
        <v>9.5411950261567551</v>
      </c>
    </row>
    <row r="8" spans="1:13" s="169" customFormat="1" ht="16.5" customHeight="1">
      <c r="A8" s="592">
        <v>45444</v>
      </c>
      <c r="B8" s="277">
        <v>5.098288643000001</v>
      </c>
      <c r="C8" s="961">
        <v>2.8917990514631862E-2</v>
      </c>
      <c r="D8" s="277">
        <v>7.6701061419146068</v>
      </c>
      <c r="E8" s="277">
        <v>79.703430527000023</v>
      </c>
      <c r="F8" s="961">
        <v>0.15559111707649526</v>
      </c>
      <c r="G8" s="277">
        <v>8.1242736879326998</v>
      </c>
      <c r="H8" s="277">
        <v>84.801719170000027</v>
      </c>
      <c r="I8" s="961">
        <v>0.14710077738850535</v>
      </c>
      <c r="J8" s="277">
        <v>8.0954548978434495</v>
      </c>
      <c r="K8" s="259">
        <v>3.9783551040000003</v>
      </c>
      <c r="L8" s="961">
        <v>0.22637333662145498</v>
      </c>
      <c r="M8" s="277">
        <v>8.8146393847546562</v>
      </c>
    </row>
    <row r="9" spans="1:13" s="169" customFormat="1" ht="16.5" customHeight="1">
      <c r="A9" s="948" t="s">
        <v>412</v>
      </c>
      <c r="B9" s="1452">
        <v>16.006967172</v>
      </c>
      <c r="C9" s="1465">
        <v>6.3727217703349243E-2</v>
      </c>
      <c r="D9" s="1452">
        <v>24.081637156412107</v>
      </c>
      <c r="E9" s="1452">
        <v>231.46699571800002</v>
      </c>
      <c r="F9" s="1465">
        <v>0.10900987335840763</v>
      </c>
      <c r="G9" s="1452">
        <v>23.593730037749722</v>
      </c>
      <c r="H9" s="1452">
        <v>247.47396289000002</v>
      </c>
      <c r="I9" s="1465">
        <v>0.10596462726187998</v>
      </c>
      <c r="J9" s="1452">
        <v>23.624689741848051</v>
      </c>
      <c r="K9" s="1466">
        <v>12.319313268</v>
      </c>
      <c r="L9" s="1465">
        <v>0.24024094110540625</v>
      </c>
      <c r="M9" s="1452">
        <v>27.295276838425579</v>
      </c>
    </row>
    <row r="10" spans="1:13" s="169" customFormat="1" ht="16.5" customHeight="1">
      <c r="A10" s="744">
        <v>45474</v>
      </c>
      <c r="B10" s="277">
        <v>4.7264789320000009</v>
      </c>
      <c r="C10" s="961">
        <v>-6.0155312785841922E-2</v>
      </c>
      <c r="D10" s="277">
        <v>7.1107380582969464</v>
      </c>
      <c r="E10" s="277">
        <v>69.23779800600002</v>
      </c>
      <c r="F10" s="961">
        <v>7.2606125482177153E-2</v>
      </c>
      <c r="G10" s="277">
        <v>7.0574982385481206</v>
      </c>
      <c r="H10" s="277">
        <v>73.964276938000026</v>
      </c>
      <c r="I10" s="961">
        <v>6.3010591233113367E-2</v>
      </c>
      <c r="J10" s="277">
        <v>7.0608765230670905</v>
      </c>
      <c r="K10" s="259">
        <v>3.4179050700000002</v>
      </c>
      <c r="L10" s="961">
        <v>5.1016319188192015E-2</v>
      </c>
      <c r="M10" s="277">
        <v>7.5728787038349354</v>
      </c>
    </row>
    <row r="11" spans="1:13" s="169" customFormat="1" ht="16.5" customHeight="1">
      <c r="A11" s="744">
        <v>45505</v>
      </c>
      <c r="B11" s="277">
        <v>4.0223095630000003</v>
      </c>
      <c r="C11" s="961">
        <v>-0.15851264372384935</v>
      </c>
      <c r="D11" s="277">
        <v>6.0513524133647509</v>
      </c>
      <c r="E11" s="277">
        <v>58.633853092000003</v>
      </c>
      <c r="F11" s="961">
        <v>-6.8919663797757713E-2</v>
      </c>
      <c r="G11" s="277">
        <v>5.9766244281803909</v>
      </c>
      <c r="H11" s="277">
        <v>62.656162655000003</v>
      </c>
      <c r="I11" s="961">
        <v>-7.5240389423502502E-2</v>
      </c>
      <c r="J11" s="277">
        <v>5.9813662247655994</v>
      </c>
      <c r="K11" s="259">
        <v>3.2740395300000005</v>
      </c>
      <c r="L11" s="961">
        <v>0.18883062091503286</v>
      </c>
      <c r="M11" s="277">
        <v>7.2541231322877975</v>
      </c>
    </row>
    <row r="12" spans="1:13" s="169" customFormat="1" ht="16.5" customHeight="1">
      <c r="A12" s="744">
        <v>45536</v>
      </c>
      <c r="B12" s="277">
        <v>4.1281091270000001</v>
      </c>
      <c r="C12" s="961">
        <v>-0.11961844167199828</v>
      </c>
      <c r="D12" s="277">
        <v>6.2105222726002571</v>
      </c>
      <c r="E12" s="277">
        <v>64.730624495000001</v>
      </c>
      <c r="F12" s="961">
        <v>3.4531316845133456E-2</v>
      </c>
      <c r="G12" s="277">
        <v>6.5980762171840546</v>
      </c>
      <c r="H12" s="277">
        <v>68.858733622000003</v>
      </c>
      <c r="I12" s="961">
        <v>2.3784677470673102E-2</v>
      </c>
      <c r="J12" s="277">
        <v>6.5734843328119892</v>
      </c>
      <c r="K12" s="259">
        <v>3.2812644</v>
      </c>
      <c r="L12" s="961">
        <v>0.12991198347107441</v>
      </c>
      <c r="M12" s="277">
        <v>7.2701309098709741</v>
      </c>
    </row>
    <row r="13" spans="1:13" s="169" customFormat="1" ht="16.5" customHeight="1">
      <c r="A13" s="948" t="s">
        <v>413</v>
      </c>
      <c r="B13" s="1452">
        <v>12.876897622000001</v>
      </c>
      <c r="C13" s="1465">
        <v>-0.11181558683956405</v>
      </c>
      <c r="D13" s="1452">
        <v>19.372612744261954</v>
      </c>
      <c r="E13" s="1452">
        <v>192.60227559300003</v>
      </c>
      <c r="F13" s="1465">
        <v>1.3189592535311457E-2</v>
      </c>
      <c r="G13" s="1452">
        <v>19.632198883912565</v>
      </c>
      <c r="H13" s="1452">
        <v>205.47917321500003</v>
      </c>
      <c r="I13" s="1465">
        <v>4.3313955756064098E-3</v>
      </c>
      <c r="J13" s="1452">
        <v>19.615727080644682</v>
      </c>
      <c r="K13" s="1466">
        <v>9.9732090000000007</v>
      </c>
      <c r="L13" s="1465">
        <v>0.11932760942760948</v>
      </c>
      <c r="M13" s="1452">
        <v>22.097132745993704</v>
      </c>
    </row>
    <row r="14" spans="1:13" s="169" customFormat="1" ht="16.5" customHeight="1">
      <c r="A14" s="744">
        <v>45566</v>
      </c>
      <c r="B14" s="277">
        <v>4.7793609400000001</v>
      </c>
      <c r="C14" s="961">
        <v>-4.3362502001601341E-2</v>
      </c>
      <c r="D14" s="277">
        <v>7.1902962478699273</v>
      </c>
      <c r="E14" s="277">
        <v>79.819442041999991</v>
      </c>
      <c r="F14" s="961">
        <v>8.4857046346634754E-2</v>
      </c>
      <c r="G14" s="277">
        <v>8.136098891598083</v>
      </c>
      <c r="H14" s="277">
        <v>84.598802981999995</v>
      </c>
      <c r="I14" s="961">
        <v>7.6704207376673716E-2</v>
      </c>
      <c r="J14" s="277">
        <v>8.0760838418781393</v>
      </c>
      <c r="K14" s="259">
        <v>3.0457089910000006</v>
      </c>
      <c r="L14" s="961">
        <v>-0.1171857997101448</v>
      </c>
      <c r="M14" s="277">
        <v>6.7482227515530422</v>
      </c>
    </row>
    <row r="15" spans="1:13" s="169" customFormat="1" ht="16.5" customHeight="1">
      <c r="A15" s="744">
        <v>45597</v>
      </c>
      <c r="B15" s="277">
        <v>5.4992003739999982</v>
      </c>
      <c r="C15" s="961">
        <v>-2.5137320687821634E-2</v>
      </c>
      <c r="D15" s="277">
        <v>8.273256678424687</v>
      </c>
      <c r="E15" s="277">
        <v>85.263192346000054</v>
      </c>
      <c r="F15" s="961">
        <v>8.038865603973766E-2</v>
      </c>
      <c r="G15" s="277">
        <v>8.6909873959703177</v>
      </c>
      <c r="H15" s="277">
        <v>90.762392720000051</v>
      </c>
      <c r="I15" s="961">
        <v>7.334901513718127E-2</v>
      </c>
      <c r="J15" s="277">
        <v>8.6644806718146015</v>
      </c>
      <c r="K15" s="259">
        <v>3.2212226910000004</v>
      </c>
      <c r="L15" s="961">
        <v>-3.0336336243226882E-2</v>
      </c>
      <c r="M15" s="277">
        <v>7.1370995441320915</v>
      </c>
    </row>
    <row r="16" spans="1:13" s="169" customFormat="1" ht="16.5" customHeight="1">
      <c r="A16" s="744">
        <v>45627</v>
      </c>
      <c r="B16" s="277">
        <v>5.8106181880000003</v>
      </c>
      <c r="C16" s="961">
        <v>-1.3142291440217325E-2</v>
      </c>
      <c r="D16" s="277">
        <v>8.7417683408906051</v>
      </c>
      <c r="E16" s="277">
        <v>92.14169894100003</v>
      </c>
      <c r="F16" s="961">
        <v>5.7884029173364361E-2</v>
      </c>
      <c r="G16" s="277">
        <v>9.3921224634640463</v>
      </c>
      <c r="H16" s="277">
        <v>97.952317129000036</v>
      </c>
      <c r="I16" s="961">
        <v>5.3386642674323963E-2</v>
      </c>
      <c r="J16" s="277">
        <v>9.3508548319336846</v>
      </c>
      <c r="K16" s="259">
        <v>3.594108436</v>
      </c>
      <c r="L16" s="961">
        <v>-9.7184517457925126E-2</v>
      </c>
      <c r="M16" s="277">
        <v>7.9632835543492391</v>
      </c>
    </row>
    <row r="17" spans="1:13" s="169" customFormat="1" ht="16.5" customHeight="1">
      <c r="A17" s="948" t="s">
        <v>414</v>
      </c>
      <c r="B17" s="1452">
        <v>16.089179501999997</v>
      </c>
      <c r="C17" s="1465">
        <v>-2.6373403812405556E-2</v>
      </c>
      <c r="D17" s="1452">
        <v>24.205321267185216</v>
      </c>
      <c r="E17" s="1452">
        <v>257.22433332900005</v>
      </c>
      <c r="F17" s="1465">
        <v>7.3579721317223012E-2</v>
      </c>
      <c r="G17" s="1452">
        <v>26.219208751032443</v>
      </c>
      <c r="H17" s="1452">
        <v>273.31351283100003</v>
      </c>
      <c r="I17" s="1465">
        <v>6.7130691984226221E-2</v>
      </c>
      <c r="J17" s="1452">
        <v>26.091419345626424</v>
      </c>
      <c r="K17" s="1466">
        <v>9.8610401180000018</v>
      </c>
      <c r="L17" s="1465">
        <v>-8.2949863479958919E-2</v>
      </c>
      <c r="M17" s="1452">
        <v>21.848605850034374</v>
      </c>
    </row>
    <row r="18" spans="1:13" s="169" customFormat="1" ht="16.5" customHeight="1">
      <c r="A18" s="744">
        <v>45658</v>
      </c>
      <c r="B18" s="277">
        <v>6.3476547769999989</v>
      </c>
      <c r="C18" s="961">
        <v>-7.4034750586396657E-3</v>
      </c>
      <c r="D18" s="277">
        <v>9.5497115406891009</v>
      </c>
      <c r="E18" s="277">
        <v>98.084394140999947</v>
      </c>
      <c r="F18" s="961">
        <v>4.7093550340012016E-2</v>
      </c>
      <c r="G18" s="277">
        <v>9.997869065956996</v>
      </c>
      <c r="H18" s="277">
        <v>104.43204891799995</v>
      </c>
      <c r="I18" s="961">
        <v>4.3610833813006677E-2</v>
      </c>
      <c r="J18" s="277">
        <v>9.9694316362884781</v>
      </c>
      <c r="K18" s="259">
        <v>3.8843327539999999</v>
      </c>
      <c r="L18" s="961">
        <v>-5.5136766236925296E-2</v>
      </c>
      <c r="M18" s="277">
        <v>8.6063188382745519</v>
      </c>
    </row>
    <row r="19" spans="1:13" s="169" customFormat="1" ht="16.5" customHeight="1">
      <c r="A19" s="744">
        <v>45689</v>
      </c>
      <c r="B19" s="277">
        <v>6.387404815</v>
      </c>
      <c r="C19" s="961">
        <v>-7.7047048314432594E-3</v>
      </c>
      <c r="D19" s="277">
        <v>9.6095133745895343</v>
      </c>
      <c r="E19" s="277">
        <v>91.916656836999991</v>
      </c>
      <c r="F19" s="961">
        <v>1.938201418447575E-2</v>
      </c>
      <c r="G19" s="277">
        <v>9.3691836309430894</v>
      </c>
      <c r="H19" s="277">
        <v>98.304061651999987</v>
      </c>
      <c r="I19" s="961">
        <v>1.7577186220317505E-2</v>
      </c>
      <c r="J19" s="277">
        <v>9.3844335370516934</v>
      </c>
      <c r="K19" s="259">
        <v>3.9312693489999999</v>
      </c>
      <c r="L19" s="961">
        <v>-5.589112656099899E-2</v>
      </c>
      <c r="M19" s="277">
        <v>8.710313868395744</v>
      </c>
    </row>
    <row r="20" spans="1:13" s="169" customFormat="1" ht="16.5" customHeight="1">
      <c r="A20" s="744">
        <v>45717</v>
      </c>
      <c r="B20" s="277">
        <v>8.7614931249999994</v>
      </c>
      <c r="C20" s="961">
        <v>0.1065285583480676</v>
      </c>
      <c r="D20" s="277">
        <v>13.181203916862085</v>
      </c>
      <c r="E20" s="277">
        <v>109.75834171500001</v>
      </c>
      <c r="F20" s="961">
        <v>9.1978678809836421E-3</v>
      </c>
      <c r="G20" s="277">
        <v>11.187809630405175</v>
      </c>
      <c r="H20" s="277">
        <v>118.51983484000002</v>
      </c>
      <c r="I20" s="961">
        <v>1.5803034385820681E-2</v>
      </c>
      <c r="J20" s="277">
        <v>11.314298658540681</v>
      </c>
      <c r="K20" s="259">
        <v>5.164333665</v>
      </c>
      <c r="L20" s="961">
        <v>2.2640329702970335E-2</v>
      </c>
      <c r="M20" s="277">
        <v>11.442351858876034</v>
      </c>
    </row>
    <row r="21" spans="1:13" s="169" customFormat="1" ht="16.5" customHeight="1">
      <c r="A21" s="948" t="s">
        <v>415</v>
      </c>
      <c r="B21" s="1452">
        <v>21.496552717</v>
      </c>
      <c r="C21" s="1465">
        <v>3.5978444192771089E-2</v>
      </c>
      <c r="D21" s="1452">
        <v>32.340428832140724</v>
      </c>
      <c r="E21" s="1452">
        <v>299.75939269299994</v>
      </c>
      <c r="F21" s="1465">
        <v>2.4468191021872771E-2</v>
      </c>
      <c r="G21" s="1452">
        <v>30.554862327305262</v>
      </c>
      <c r="H21" s="1452">
        <v>321.25594540999992</v>
      </c>
      <c r="I21" s="1465">
        <v>2.5230398627732437E-2</v>
      </c>
      <c r="J21" s="1452">
        <v>30.66816383188085</v>
      </c>
      <c r="K21" s="1466">
        <v>12.979935768000001</v>
      </c>
      <c r="L21" s="1465">
        <v>-2.5896002401500834E-2</v>
      </c>
      <c r="M21" s="1452">
        <v>28.758984565546331</v>
      </c>
    </row>
    <row r="22" spans="1:13" s="169" customFormat="1" ht="16.5" customHeight="1" thickBot="1">
      <c r="A22" s="953" t="s">
        <v>141</v>
      </c>
      <c r="B22" s="1452">
        <v>66.469597012999998</v>
      </c>
      <c r="C22" s="1465">
        <v>-5.2588705197467887E-3</v>
      </c>
      <c r="D22" s="1452">
        <v>100</v>
      </c>
      <c r="E22" s="1452">
        <v>981.05299733300012</v>
      </c>
      <c r="F22" s="1465">
        <v>5.3756958698396085E-2</v>
      </c>
      <c r="G22" s="1452">
        <v>100</v>
      </c>
      <c r="H22" s="1452">
        <v>1047.522594346</v>
      </c>
      <c r="I22" s="1465">
        <v>4.9804870133670701E-2</v>
      </c>
      <c r="J22" s="1452">
        <v>100</v>
      </c>
      <c r="K22" s="1466">
        <v>45.133498154000009</v>
      </c>
      <c r="L22" s="1465">
        <v>5.1548150182894374E-2</v>
      </c>
      <c r="M22" s="1452">
        <v>100</v>
      </c>
    </row>
    <row r="23" spans="1:13" ht="17.649999999999999" customHeight="1" thickTop="1">
      <c r="A23" s="254" t="s">
        <v>505</v>
      </c>
      <c r="B23" s="221"/>
      <c r="C23" s="221"/>
      <c r="D23" s="776"/>
      <c r="E23" s="221"/>
      <c r="F23" s="221"/>
      <c r="G23" s="776"/>
      <c r="H23" s="222"/>
      <c r="I23" s="222"/>
      <c r="J23" s="590"/>
      <c r="K23" s="222"/>
      <c r="L23" s="222"/>
      <c r="M23" s="222"/>
    </row>
  </sheetData>
  <mergeCells count="7">
    <mergeCell ref="A1:M1"/>
    <mergeCell ref="A2:M2"/>
    <mergeCell ref="A3:A4"/>
    <mergeCell ref="B3:D3"/>
    <mergeCell ref="E3:G3"/>
    <mergeCell ref="H3:J3"/>
    <mergeCell ref="K3:M3"/>
  </mergeCells>
  <phoneticPr fontId="4" type="noConversion"/>
  <printOptions horizontalCentered="1" verticalCentered="1"/>
  <pageMargins left="0.39370078740157483" right="0.39370078740157483" top="0.59055118110236227" bottom="0.59055118110236227" header="0.19685039370078741" footer="0.19685039370078741"/>
  <pageSetup paperSize="9" scale="91" firstPageNumber="10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50"/>
  </sheetPr>
  <dimension ref="A1:R20"/>
  <sheetViews>
    <sheetView zoomScaleNormal="100" workbookViewId="0">
      <selection activeCell="O21" sqref="O21"/>
    </sheetView>
  </sheetViews>
  <sheetFormatPr defaultColWidth="10.140625" defaultRowHeight="13.5"/>
  <cols>
    <col min="1" max="1" width="9.5703125" style="816" customWidth="1"/>
    <col min="2" max="2" width="7.5703125" style="816" bestFit="1" customWidth="1"/>
    <col min="3" max="3" width="9.140625" style="816" customWidth="1"/>
    <col min="4" max="4" width="7.5703125" style="816" bestFit="1" customWidth="1"/>
    <col min="5" max="5" width="9.140625" style="816" customWidth="1"/>
    <col min="6" max="6" width="7.5703125" style="816" bestFit="1" customWidth="1"/>
    <col min="7" max="7" width="8.7109375" style="816" customWidth="1"/>
    <col min="8" max="8" width="7.5703125" style="816" bestFit="1" customWidth="1"/>
    <col min="9" max="9" width="9.140625" style="816" customWidth="1"/>
    <col min="10" max="10" width="7.5703125" style="816" bestFit="1" customWidth="1"/>
    <col min="11" max="11" width="9.140625" style="816" customWidth="1"/>
    <col min="12" max="12" width="8.28515625" style="816" customWidth="1"/>
    <col min="13" max="13" width="8.7109375" style="814" customWidth="1"/>
    <col min="14" max="14" width="8.42578125" style="814" customWidth="1"/>
    <col min="15" max="155" width="10.140625" style="814" customWidth="1"/>
    <col min="156" max="242" width="10.140625" style="814"/>
    <col min="243" max="243" width="13.7109375" style="814" customWidth="1"/>
    <col min="244" max="244" width="21.5703125" style="814" customWidth="1"/>
    <col min="245" max="245" width="10.28515625" style="814" customWidth="1"/>
    <col min="246" max="246" width="7.28515625" style="814" customWidth="1"/>
    <col min="247" max="247" width="8.28515625" style="814" customWidth="1"/>
    <col min="248" max="257" width="7.28515625" style="814" customWidth="1"/>
    <col min="258" max="258" width="9.42578125" style="814" customWidth="1"/>
    <col min="259" max="498" width="10.140625" style="814"/>
    <col min="499" max="499" width="13.7109375" style="814" customWidth="1"/>
    <col min="500" max="500" width="21.5703125" style="814" customWidth="1"/>
    <col min="501" max="501" width="10.28515625" style="814" customWidth="1"/>
    <col min="502" max="502" width="7.28515625" style="814" customWidth="1"/>
    <col min="503" max="503" width="8.28515625" style="814" customWidth="1"/>
    <col min="504" max="513" width="7.28515625" style="814" customWidth="1"/>
    <col min="514" max="514" width="9.42578125" style="814" customWidth="1"/>
    <col min="515" max="754" width="10.140625" style="814"/>
    <col min="755" max="755" width="13.7109375" style="814" customWidth="1"/>
    <col min="756" max="756" width="21.5703125" style="814" customWidth="1"/>
    <col min="757" max="757" width="10.28515625" style="814" customWidth="1"/>
    <col min="758" max="758" width="7.28515625" style="814" customWidth="1"/>
    <col min="759" max="759" width="8.28515625" style="814" customWidth="1"/>
    <col min="760" max="769" width="7.28515625" style="814" customWidth="1"/>
    <col min="770" max="770" width="9.42578125" style="814" customWidth="1"/>
    <col min="771" max="1010" width="10.140625" style="814"/>
    <col min="1011" max="1011" width="13.7109375" style="814" customWidth="1"/>
    <col min="1012" max="1012" width="21.5703125" style="814" customWidth="1"/>
    <col min="1013" max="1013" width="10.28515625" style="814" customWidth="1"/>
    <col min="1014" max="1014" width="7.28515625" style="814" customWidth="1"/>
    <col min="1015" max="1015" width="8.28515625" style="814" customWidth="1"/>
    <col min="1016" max="1025" width="7.28515625" style="814" customWidth="1"/>
    <col min="1026" max="1026" width="9.42578125" style="814" customWidth="1"/>
    <col min="1027" max="1266" width="10.140625" style="814"/>
    <col min="1267" max="1267" width="13.7109375" style="814" customWidth="1"/>
    <col min="1268" max="1268" width="21.5703125" style="814" customWidth="1"/>
    <col min="1269" max="1269" width="10.28515625" style="814" customWidth="1"/>
    <col min="1270" max="1270" width="7.28515625" style="814" customWidth="1"/>
    <col min="1271" max="1271" width="8.28515625" style="814" customWidth="1"/>
    <col min="1272" max="1281" width="7.28515625" style="814" customWidth="1"/>
    <col min="1282" max="1282" width="9.42578125" style="814" customWidth="1"/>
    <col min="1283" max="1522" width="10.140625" style="814"/>
    <col min="1523" max="1523" width="13.7109375" style="814" customWidth="1"/>
    <col min="1524" max="1524" width="21.5703125" style="814" customWidth="1"/>
    <col min="1525" max="1525" width="10.28515625" style="814" customWidth="1"/>
    <col min="1526" max="1526" width="7.28515625" style="814" customWidth="1"/>
    <col min="1527" max="1527" width="8.28515625" style="814" customWidth="1"/>
    <col min="1528" max="1537" width="7.28515625" style="814" customWidth="1"/>
    <col min="1538" max="1538" width="9.42578125" style="814" customWidth="1"/>
    <col min="1539" max="1778" width="10.140625" style="814"/>
    <col min="1779" max="1779" width="13.7109375" style="814" customWidth="1"/>
    <col min="1780" max="1780" width="21.5703125" style="814" customWidth="1"/>
    <col min="1781" max="1781" width="10.28515625" style="814" customWidth="1"/>
    <col min="1782" max="1782" width="7.28515625" style="814" customWidth="1"/>
    <col min="1783" max="1783" width="8.28515625" style="814" customWidth="1"/>
    <col min="1784" max="1793" width="7.28515625" style="814" customWidth="1"/>
    <col min="1794" max="1794" width="9.42578125" style="814" customWidth="1"/>
    <col min="1795" max="2034" width="10.140625" style="814"/>
    <col min="2035" max="2035" width="13.7109375" style="814" customWidth="1"/>
    <col min="2036" max="2036" width="21.5703125" style="814" customWidth="1"/>
    <col min="2037" max="2037" width="10.28515625" style="814" customWidth="1"/>
    <col min="2038" max="2038" width="7.28515625" style="814" customWidth="1"/>
    <col min="2039" max="2039" width="8.28515625" style="814" customWidth="1"/>
    <col min="2040" max="2049" width="7.28515625" style="814" customWidth="1"/>
    <col min="2050" max="2050" width="9.42578125" style="814" customWidth="1"/>
    <col min="2051" max="2290" width="10.140625" style="814"/>
    <col min="2291" max="2291" width="13.7109375" style="814" customWidth="1"/>
    <col min="2292" max="2292" width="21.5703125" style="814" customWidth="1"/>
    <col min="2293" max="2293" width="10.28515625" style="814" customWidth="1"/>
    <col min="2294" max="2294" width="7.28515625" style="814" customWidth="1"/>
    <col min="2295" max="2295" width="8.28515625" style="814" customWidth="1"/>
    <col min="2296" max="2305" width="7.28515625" style="814" customWidth="1"/>
    <col min="2306" max="2306" width="9.42578125" style="814" customWidth="1"/>
    <col min="2307" max="2546" width="10.140625" style="814"/>
    <col min="2547" max="2547" width="13.7109375" style="814" customWidth="1"/>
    <col min="2548" max="2548" width="21.5703125" style="814" customWidth="1"/>
    <col min="2549" max="2549" width="10.28515625" style="814" customWidth="1"/>
    <col min="2550" max="2550" width="7.28515625" style="814" customWidth="1"/>
    <col min="2551" max="2551" width="8.28515625" style="814" customWidth="1"/>
    <col min="2552" max="2561" width="7.28515625" style="814" customWidth="1"/>
    <col min="2562" max="2562" width="9.42578125" style="814" customWidth="1"/>
    <col min="2563" max="2802" width="10.140625" style="814"/>
    <col min="2803" max="2803" width="13.7109375" style="814" customWidth="1"/>
    <col min="2804" max="2804" width="21.5703125" style="814" customWidth="1"/>
    <col min="2805" max="2805" width="10.28515625" style="814" customWidth="1"/>
    <col min="2806" max="2806" width="7.28515625" style="814" customWidth="1"/>
    <col min="2807" max="2807" width="8.28515625" style="814" customWidth="1"/>
    <col min="2808" max="2817" width="7.28515625" style="814" customWidth="1"/>
    <col min="2818" max="2818" width="9.42578125" style="814" customWidth="1"/>
    <col min="2819" max="3058" width="10.140625" style="814"/>
    <col min="3059" max="3059" width="13.7109375" style="814" customWidth="1"/>
    <col min="3060" max="3060" width="21.5703125" style="814" customWidth="1"/>
    <col min="3061" max="3061" width="10.28515625" style="814" customWidth="1"/>
    <col min="3062" max="3062" width="7.28515625" style="814" customWidth="1"/>
    <col min="3063" max="3063" width="8.28515625" style="814" customWidth="1"/>
    <col min="3064" max="3073" width="7.28515625" style="814" customWidth="1"/>
    <col min="3074" max="3074" width="9.42578125" style="814" customWidth="1"/>
    <col min="3075" max="3314" width="10.140625" style="814"/>
    <col min="3315" max="3315" width="13.7109375" style="814" customWidth="1"/>
    <col min="3316" max="3316" width="21.5703125" style="814" customWidth="1"/>
    <col min="3317" max="3317" width="10.28515625" style="814" customWidth="1"/>
    <col min="3318" max="3318" width="7.28515625" style="814" customWidth="1"/>
    <col min="3319" max="3319" width="8.28515625" style="814" customWidth="1"/>
    <col min="3320" max="3329" width="7.28515625" style="814" customWidth="1"/>
    <col min="3330" max="3330" width="9.42578125" style="814" customWidth="1"/>
    <col min="3331" max="3570" width="10.140625" style="814"/>
    <col min="3571" max="3571" width="13.7109375" style="814" customWidth="1"/>
    <col min="3572" max="3572" width="21.5703125" style="814" customWidth="1"/>
    <col min="3573" max="3573" width="10.28515625" style="814" customWidth="1"/>
    <col min="3574" max="3574" width="7.28515625" style="814" customWidth="1"/>
    <col min="3575" max="3575" width="8.28515625" style="814" customWidth="1"/>
    <col min="3576" max="3585" width="7.28515625" style="814" customWidth="1"/>
    <col min="3586" max="3586" width="9.42578125" style="814" customWidth="1"/>
    <col min="3587" max="3826" width="10.140625" style="814"/>
    <col min="3827" max="3827" width="13.7109375" style="814" customWidth="1"/>
    <col min="3828" max="3828" width="21.5703125" style="814" customWidth="1"/>
    <col min="3829" max="3829" width="10.28515625" style="814" customWidth="1"/>
    <col min="3830" max="3830" width="7.28515625" style="814" customWidth="1"/>
    <col min="3831" max="3831" width="8.28515625" style="814" customWidth="1"/>
    <col min="3832" max="3841" width="7.28515625" style="814" customWidth="1"/>
    <col min="3842" max="3842" width="9.42578125" style="814" customWidth="1"/>
    <col min="3843" max="4082" width="10.140625" style="814"/>
    <col min="4083" max="4083" width="13.7109375" style="814" customWidth="1"/>
    <col min="4084" max="4084" width="21.5703125" style="814" customWidth="1"/>
    <col min="4085" max="4085" width="10.28515625" style="814" customWidth="1"/>
    <col min="4086" max="4086" width="7.28515625" style="814" customWidth="1"/>
    <col min="4087" max="4087" width="8.28515625" style="814" customWidth="1"/>
    <col min="4088" max="4097" width="7.28515625" style="814" customWidth="1"/>
    <col min="4098" max="4098" width="9.42578125" style="814" customWidth="1"/>
    <col min="4099" max="4338" width="10.140625" style="814"/>
    <col min="4339" max="4339" width="13.7109375" style="814" customWidth="1"/>
    <col min="4340" max="4340" width="21.5703125" style="814" customWidth="1"/>
    <col min="4341" max="4341" width="10.28515625" style="814" customWidth="1"/>
    <col min="4342" max="4342" width="7.28515625" style="814" customWidth="1"/>
    <col min="4343" max="4343" width="8.28515625" style="814" customWidth="1"/>
    <col min="4344" max="4353" width="7.28515625" style="814" customWidth="1"/>
    <col min="4354" max="4354" width="9.42578125" style="814" customWidth="1"/>
    <col min="4355" max="4594" width="10.140625" style="814"/>
    <col min="4595" max="4595" width="13.7109375" style="814" customWidth="1"/>
    <col min="4596" max="4596" width="21.5703125" style="814" customWidth="1"/>
    <col min="4597" max="4597" width="10.28515625" style="814" customWidth="1"/>
    <col min="4598" max="4598" width="7.28515625" style="814" customWidth="1"/>
    <col min="4599" max="4599" width="8.28515625" style="814" customWidth="1"/>
    <col min="4600" max="4609" width="7.28515625" style="814" customWidth="1"/>
    <col min="4610" max="4610" width="9.42578125" style="814" customWidth="1"/>
    <col min="4611" max="4850" width="10.140625" style="814"/>
    <col min="4851" max="4851" width="13.7109375" style="814" customWidth="1"/>
    <col min="4852" max="4852" width="21.5703125" style="814" customWidth="1"/>
    <col min="4853" max="4853" width="10.28515625" style="814" customWidth="1"/>
    <col min="4854" max="4854" width="7.28515625" style="814" customWidth="1"/>
    <col min="4855" max="4855" width="8.28515625" style="814" customWidth="1"/>
    <col min="4856" max="4865" width="7.28515625" style="814" customWidth="1"/>
    <col min="4866" max="4866" width="9.42578125" style="814" customWidth="1"/>
    <col min="4867" max="5106" width="10.140625" style="814"/>
    <col min="5107" max="5107" width="13.7109375" style="814" customWidth="1"/>
    <col min="5108" max="5108" width="21.5703125" style="814" customWidth="1"/>
    <col min="5109" max="5109" width="10.28515625" style="814" customWidth="1"/>
    <col min="5110" max="5110" width="7.28515625" style="814" customWidth="1"/>
    <col min="5111" max="5111" width="8.28515625" style="814" customWidth="1"/>
    <col min="5112" max="5121" width="7.28515625" style="814" customWidth="1"/>
    <col min="5122" max="5122" width="9.42578125" style="814" customWidth="1"/>
    <col min="5123" max="5362" width="10.140625" style="814"/>
    <col min="5363" max="5363" width="13.7109375" style="814" customWidth="1"/>
    <col min="5364" max="5364" width="21.5703125" style="814" customWidth="1"/>
    <col min="5365" max="5365" width="10.28515625" style="814" customWidth="1"/>
    <col min="5366" max="5366" width="7.28515625" style="814" customWidth="1"/>
    <col min="5367" max="5367" width="8.28515625" style="814" customWidth="1"/>
    <col min="5368" max="5377" width="7.28515625" style="814" customWidth="1"/>
    <col min="5378" max="5378" width="9.42578125" style="814" customWidth="1"/>
    <col min="5379" max="5618" width="10.140625" style="814"/>
    <col min="5619" max="5619" width="13.7109375" style="814" customWidth="1"/>
    <col min="5620" max="5620" width="21.5703125" style="814" customWidth="1"/>
    <col min="5621" max="5621" width="10.28515625" style="814" customWidth="1"/>
    <col min="5622" max="5622" width="7.28515625" style="814" customWidth="1"/>
    <col min="5623" max="5623" width="8.28515625" style="814" customWidth="1"/>
    <col min="5624" max="5633" width="7.28515625" style="814" customWidth="1"/>
    <col min="5634" max="5634" width="9.42578125" style="814" customWidth="1"/>
    <col min="5635" max="5874" width="10.140625" style="814"/>
    <col min="5875" max="5875" width="13.7109375" style="814" customWidth="1"/>
    <col min="5876" max="5876" width="21.5703125" style="814" customWidth="1"/>
    <col min="5877" max="5877" width="10.28515625" style="814" customWidth="1"/>
    <col min="5878" max="5878" width="7.28515625" style="814" customWidth="1"/>
    <col min="5879" max="5879" width="8.28515625" style="814" customWidth="1"/>
    <col min="5880" max="5889" width="7.28515625" style="814" customWidth="1"/>
    <col min="5890" max="5890" width="9.42578125" style="814" customWidth="1"/>
    <col min="5891" max="6130" width="10.140625" style="814"/>
    <col min="6131" max="6131" width="13.7109375" style="814" customWidth="1"/>
    <col min="6132" max="6132" width="21.5703125" style="814" customWidth="1"/>
    <col min="6133" max="6133" width="10.28515625" style="814" customWidth="1"/>
    <col min="6134" max="6134" width="7.28515625" style="814" customWidth="1"/>
    <col min="6135" max="6135" width="8.28515625" style="814" customWidth="1"/>
    <col min="6136" max="6145" width="7.28515625" style="814" customWidth="1"/>
    <col min="6146" max="6146" width="9.42578125" style="814" customWidth="1"/>
    <col min="6147" max="6386" width="10.140625" style="814"/>
    <col min="6387" max="6387" width="13.7109375" style="814" customWidth="1"/>
    <col min="6388" max="6388" width="21.5703125" style="814" customWidth="1"/>
    <col min="6389" max="6389" width="10.28515625" style="814" customWidth="1"/>
    <col min="6390" max="6390" width="7.28515625" style="814" customWidth="1"/>
    <col min="6391" max="6391" width="8.28515625" style="814" customWidth="1"/>
    <col min="6392" max="6401" width="7.28515625" style="814" customWidth="1"/>
    <col min="6402" max="6402" width="9.42578125" style="814" customWidth="1"/>
    <col min="6403" max="6642" width="10.140625" style="814"/>
    <col min="6643" max="6643" width="13.7109375" style="814" customWidth="1"/>
    <col min="6644" max="6644" width="21.5703125" style="814" customWidth="1"/>
    <col min="6645" max="6645" width="10.28515625" style="814" customWidth="1"/>
    <col min="6646" max="6646" width="7.28515625" style="814" customWidth="1"/>
    <col min="6647" max="6647" width="8.28515625" style="814" customWidth="1"/>
    <col min="6648" max="6657" width="7.28515625" style="814" customWidth="1"/>
    <col min="6658" max="6658" width="9.42578125" style="814" customWidth="1"/>
    <col min="6659" max="6898" width="10.140625" style="814"/>
    <col min="6899" max="6899" width="13.7109375" style="814" customWidth="1"/>
    <col min="6900" max="6900" width="21.5703125" style="814" customWidth="1"/>
    <col min="6901" max="6901" width="10.28515625" style="814" customWidth="1"/>
    <col min="6902" max="6902" width="7.28515625" style="814" customWidth="1"/>
    <col min="6903" max="6903" width="8.28515625" style="814" customWidth="1"/>
    <col min="6904" max="6913" width="7.28515625" style="814" customWidth="1"/>
    <col min="6914" max="6914" width="9.42578125" style="814" customWidth="1"/>
    <col min="6915" max="7154" width="10.140625" style="814"/>
    <col min="7155" max="7155" width="13.7109375" style="814" customWidth="1"/>
    <col min="7156" max="7156" width="21.5703125" style="814" customWidth="1"/>
    <col min="7157" max="7157" width="10.28515625" style="814" customWidth="1"/>
    <col min="7158" max="7158" width="7.28515625" style="814" customWidth="1"/>
    <col min="7159" max="7159" width="8.28515625" style="814" customWidth="1"/>
    <col min="7160" max="7169" width="7.28515625" style="814" customWidth="1"/>
    <col min="7170" max="7170" width="9.42578125" style="814" customWidth="1"/>
    <col min="7171" max="7410" width="10.140625" style="814"/>
    <col min="7411" max="7411" width="13.7109375" style="814" customWidth="1"/>
    <col min="7412" max="7412" width="21.5703125" style="814" customWidth="1"/>
    <col min="7413" max="7413" width="10.28515625" style="814" customWidth="1"/>
    <col min="7414" max="7414" width="7.28515625" style="814" customWidth="1"/>
    <col min="7415" max="7415" width="8.28515625" style="814" customWidth="1"/>
    <col min="7416" max="7425" width="7.28515625" style="814" customWidth="1"/>
    <col min="7426" max="7426" width="9.42578125" style="814" customWidth="1"/>
    <col min="7427" max="7666" width="10.140625" style="814"/>
    <col min="7667" max="7667" width="13.7109375" style="814" customWidth="1"/>
    <col min="7668" max="7668" width="21.5703125" style="814" customWidth="1"/>
    <col min="7669" max="7669" width="10.28515625" style="814" customWidth="1"/>
    <col min="7670" max="7670" width="7.28515625" style="814" customWidth="1"/>
    <col min="7671" max="7671" width="8.28515625" style="814" customWidth="1"/>
    <col min="7672" max="7681" width="7.28515625" style="814" customWidth="1"/>
    <col min="7682" max="7682" width="9.42578125" style="814" customWidth="1"/>
    <col min="7683" max="7922" width="10.140625" style="814"/>
    <col min="7923" max="7923" width="13.7109375" style="814" customWidth="1"/>
    <col min="7924" max="7924" width="21.5703125" style="814" customWidth="1"/>
    <col min="7925" max="7925" width="10.28515625" style="814" customWidth="1"/>
    <col min="7926" max="7926" width="7.28515625" style="814" customWidth="1"/>
    <col min="7927" max="7927" width="8.28515625" style="814" customWidth="1"/>
    <col min="7928" max="7937" width="7.28515625" style="814" customWidth="1"/>
    <col min="7938" max="7938" width="9.42578125" style="814" customWidth="1"/>
    <col min="7939" max="8178" width="10.140625" style="814"/>
    <col min="8179" max="8179" width="13.7109375" style="814" customWidth="1"/>
    <col min="8180" max="8180" width="21.5703125" style="814" customWidth="1"/>
    <col min="8181" max="8181" width="10.28515625" style="814" customWidth="1"/>
    <col min="8182" max="8182" width="7.28515625" style="814" customWidth="1"/>
    <col min="8183" max="8183" width="8.28515625" style="814" customWidth="1"/>
    <col min="8184" max="8193" width="7.28515625" style="814" customWidth="1"/>
    <col min="8194" max="8194" width="9.42578125" style="814" customWidth="1"/>
    <col min="8195" max="8434" width="10.140625" style="814"/>
    <col min="8435" max="8435" width="13.7109375" style="814" customWidth="1"/>
    <col min="8436" max="8436" width="21.5703125" style="814" customWidth="1"/>
    <col min="8437" max="8437" width="10.28515625" style="814" customWidth="1"/>
    <col min="8438" max="8438" width="7.28515625" style="814" customWidth="1"/>
    <col min="8439" max="8439" width="8.28515625" style="814" customWidth="1"/>
    <col min="8440" max="8449" width="7.28515625" style="814" customWidth="1"/>
    <col min="8450" max="8450" width="9.42578125" style="814" customWidth="1"/>
    <col min="8451" max="8690" width="10.140625" style="814"/>
    <col min="8691" max="8691" width="13.7109375" style="814" customWidth="1"/>
    <col min="8692" max="8692" width="21.5703125" style="814" customWidth="1"/>
    <col min="8693" max="8693" width="10.28515625" style="814" customWidth="1"/>
    <col min="8694" max="8694" width="7.28515625" style="814" customWidth="1"/>
    <col min="8695" max="8695" width="8.28515625" style="814" customWidth="1"/>
    <col min="8696" max="8705" width="7.28515625" style="814" customWidth="1"/>
    <col min="8706" max="8706" width="9.42578125" style="814" customWidth="1"/>
    <col min="8707" max="8946" width="10.140625" style="814"/>
    <col min="8947" max="8947" width="13.7109375" style="814" customWidth="1"/>
    <col min="8948" max="8948" width="21.5703125" style="814" customWidth="1"/>
    <col min="8949" max="8949" width="10.28515625" style="814" customWidth="1"/>
    <col min="8950" max="8950" width="7.28515625" style="814" customWidth="1"/>
    <col min="8951" max="8951" width="8.28515625" style="814" customWidth="1"/>
    <col min="8952" max="8961" width="7.28515625" style="814" customWidth="1"/>
    <col min="8962" max="8962" width="9.42578125" style="814" customWidth="1"/>
    <col min="8963" max="9202" width="10.140625" style="814"/>
    <col min="9203" max="9203" width="13.7109375" style="814" customWidth="1"/>
    <col min="9204" max="9204" width="21.5703125" style="814" customWidth="1"/>
    <col min="9205" max="9205" width="10.28515625" style="814" customWidth="1"/>
    <col min="9206" max="9206" width="7.28515625" style="814" customWidth="1"/>
    <col min="9207" max="9207" width="8.28515625" style="814" customWidth="1"/>
    <col min="9208" max="9217" width="7.28515625" style="814" customWidth="1"/>
    <col min="9218" max="9218" width="9.42578125" style="814" customWidth="1"/>
    <col min="9219" max="9458" width="10.140625" style="814"/>
    <col min="9459" max="9459" width="13.7109375" style="814" customWidth="1"/>
    <col min="9460" max="9460" width="21.5703125" style="814" customWidth="1"/>
    <col min="9461" max="9461" width="10.28515625" style="814" customWidth="1"/>
    <col min="9462" max="9462" width="7.28515625" style="814" customWidth="1"/>
    <col min="9463" max="9463" width="8.28515625" style="814" customWidth="1"/>
    <col min="9464" max="9473" width="7.28515625" style="814" customWidth="1"/>
    <col min="9474" max="9474" width="9.42578125" style="814" customWidth="1"/>
    <col min="9475" max="9714" width="10.140625" style="814"/>
    <col min="9715" max="9715" width="13.7109375" style="814" customWidth="1"/>
    <col min="9716" max="9716" width="21.5703125" style="814" customWidth="1"/>
    <col min="9717" max="9717" width="10.28515625" style="814" customWidth="1"/>
    <col min="9718" max="9718" width="7.28515625" style="814" customWidth="1"/>
    <col min="9719" max="9719" width="8.28515625" style="814" customWidth="1"/>
    <col min="9720" max="9729" width="7.28515625" style="814" customWidth="1"/>
    <col min="9730" max="9730" width="9.42578125" style="814" customWidth="1"/>
    <col min="9731" max="9970" width="10.140625" style="814"/>
    <col min="9971" max="9971" width="13.7109375" style="814" customWidth="1"/>
    <col min="9972" max="9972" width="21.5703125" style="814" customWidth="1"/>
    <col min="9973" max="9973" width="10.28515625" style="814" customWidth="1"/>
    <col min="9974" max="9974" width="7.28515625" style="814" customWidth="1"/>
    <col min="9975" max="9975" width="8.28515625" style="814" customWidth="1"/>
    <col min="9976" max="9985" width="7.28515625" style="814" customWidth="1"/>
    <col min="9986" max="9986" width="9.42578125" style="814" customWidth="1"/>
    <col min="9987" max="10226" width="10.140625" style="814"/>
    <col min="10227" max="10227" width="13.7109375" style="814" customWidth="1"/>
    <col min="10228" max="10228" width="21.5703125" style="814" customWidth="1"/>
    <col min="10229" max="10229" width="10.28515625" style="814" customWidth="1"/>
    <col min="10230" max="10230" width="7.28515625" style="814" customWidth="1"/>
    <col min="10231" max="10231" width="8.28515625" style="814" customWidth="1"/>
    <col min="10232" max="10241" width="7.28515625" style="814" customWidth="1"/>
    <col min="10242" max="10242" width="9.42578125" style="814" customWidth="1"/>
    <col min="10243" max="10482" width="10.140625" style="814"/>
    <col min="10483" max="10483" width="13.7109375" style="814" customWidth="1"/>
    <col min="10484" max="10484" width="21.5703125" style="814" customWidth="1"/>
    <col min="10485" max="10485" width="10.28515625" style="814" customWidth="1"/>
    <col min="10486" max="10486" width="7.28515625" style="814" customWidth="1"/>
    <col min="10487" max="10487" width="8.28515625" style="814" customWidth="1"/>
    <col min="10488" max="10497" width="7.28515625" style="814" customWidth="1"/>
    <col min="10498" max="10498" width="9.42578125" style="814" customWidth="1"/>
    <col min="10499" max="10738" width="10.140625" style="814"/>
    <col min="10739" max="10739" width="13.7109375" style="814" customWidth="1"/>
    <col min="10740" max="10740" width="21.5703125" style="814" customWidth="1"/>
    <col min="10741" max="10741" width="10.28515625" style="814" customWidth="1"/>
    <col min="10742" max="10742" width="7.28515625" style="814" customWidth="1"/>
    <col min="10743" max="10743" width="8.28515625" style="814" customWidth="1"/>
    <col min="10744" max="10753" width="7.28515625" style="814" customWidth="1"/>
    <col min="10754" max="10754" width="9.42578125" style="814" customWidth="1"/>
    <col min="10755" max="10994" width="10.140625" style="814"/>
    <col min="10995" max="10995" width="13.7109375" style="814" customWidth="1"/>
    <col min="10996" max="10996" width="21.5703125" style="814" customWidth="1"/>
    <col min="10997" max="10997" width="10.28515625" style="814" customWidth="1"/>
    <col min="10998" max="10998" width="7.28515625" style="814" customWidth="1"/>
    <col min="10999" max="10999" width="8.28515625" style="814" customWidth="1"/>
    <col min="11000" max="11009" width="7.28515625" style="814" customWidth="1"/>
    <col min="11010" max="11010" width="9.42578125" style="814" customWidth="1"/>
    <col min="11011" max="11250" width="10.140625" style="814"/>
    <col min="11251" max="11251" width="13.7109375" style="814" customWidth="1"/>
    <col min="11252" max="11252" width="21.5703125" style="814" customWidth="1"/>
    <col min="11253" max="11253" width="10.28515625" style="814" customWidth="1"/>
    <col min="11254" max="11254" width="7.28515625" style="814" customWidth="1"/>
    <col min="11255" max="11255" width="8.28515625" style="814" customWidth="1"/>
    <col min="11256" max="11265" width="7.28515625" style="814" customWidth="1"/>
    <col min="11266" max="11266" width="9.42578125" style="814" customWidth="1"/>
    <col min="11267" max="11506" width="10.140625" style="814"/>
    <col min="11507" max="11507" width="13.7109375" style="814" customWidth="1"/>
    <col min="11508" max="11508" width="21.5703125" style="814" customWidth="1"/>
    <col min="11509" max="11509" width="10.28515625" style="814" customWidth="1"/>
    <col min="11510" max="11510" width="7.28515625" style="814" customWidth="1"/>
    <col min="11511" max="11511" width="8.28515625" style="814" customWidth="1"/>
    <col min="11512" max="11521" width="7.28515625" style="814" customWidth="1"/>
    <col min="11522" max="11522" width="9.42578125" style="814" customWidth="1"/>
    <col min="11523" max="11762" width="10.140625" style="814"/>
    <col min="11763" max="11763" width="13.7109375" style="814" customWidth="1"/>
    <col min="11764" max="11764" width="21.5703125" style="814" customWidth="1"/>
    <col min="11765" max="11765" width="10.28515625" style="814" customWidth="1"/>
    <col min="11766" max="11766" width="7.28515625" style="814" customWidth="1"/>
    <col min="11767" max="11767" width="8.28515625" style="814" customWidth="1"/>
    <col min="11768" max="11777" width="7.28515625" style="814" customWidth="1"/>
    <col min="11778" max="11778" width="9.42578125" style="814" customWidth="1"/>
    <col min="11779" max="12018" width="10.140625" style="814"/>
    <col min="12019" max="12019" width="13.7109375" style="814" customWidth="1"/>
    <col min="12020" max="12020" width="21.5703125" style="814" customWidth="1"/>
    <col min="12021" max="12021" width="10.28515625" style="814" customWidth="1"/>
    <col min="12022" max="12022" width="7.28515625" style="814" customWidth="1"/>
    <col min="12023" max="12023" width="8.28515625" style="814" customWidth="1"/>
    <col min="12024" max="12033" width="7.28515625" style="814" customWidth="1"/>
    <col min="12034" max="12034" width="9.42578125" style="814" customWidth="1"/>
    <col min="12035" max="12274" width="10.140625" style="814"/>
    <col min="12275" max="12275" width="13.7109375" style="814" customWidth="1"/>
    <col min="12276" max="12276" width="21.5703125" style="814" customWidth="1"/>
    <col min="12277" max="12277" width="10.28515625" style="814" customWidth="1"/>
    <col min="12278" max="12278" width="7.28515625" style="814" customWidth="1"/>
    <col min="12279" max="12279" width="8.28515625" style="814" customWidth="1"/>
    <col min="12280" max="12289" width="7.28515625" style="814" customWidth="1"/>
    <col min="12290" max="12290" width="9.42578125" style="814" customWidth="1"/>
    <col min="12291" max="12530" width="10.140625" style="814"/>
    <col min="12531" max="12531" width="13.7109375" style="814" customWidth="1"/>
    <col min="12532" max="12532" width="21.5703125" style="814" customWidth="1"/>
    <col min="12533" max="12533" width="10.28515625" style="814" customWidth="1"/>
    <col min="12534" max="12534" width="7.28515625" style="814" customWidth="1"/>
    <col min="12535" max="12535" width="8.28515625" style="814" customWidth="1"/>
    <col min="12536" max="12545" width="7.28515625" style="814" customWidth="1"/>
    <col min="12546" max="12546" width="9.42578125" style="814" customWidth="1"/>
    <col min="12547" max="12786" width="10.140625" style="814"/>
    <col min="12787" max="12787" width="13.7109375" style="814" customWidth="1"/>
    <col min="12788" max="12788" width="21.5703125" style="814" customWidth="1"/>
    <col min="12789" max="12789" width="10.28515625" style="814" customWidth="1"/>
    <col min="12790" max="12790" width="7.28515625" style="814" customWidth="1"/>
    <col min="12791" max="12791" width="8.28515625" style="814" customWidth="1"/>
    <col min="12792" max="12801" width="7.28515625" style="814" customWidth="1"/>
    <col min="12802" max="12802" width="9.42578125" style="814" customWidth="1"/>
    <col min="12803" max="13042" width="10.140625" style="814"/>
    <col min="13043" max="13043" width="13.7109375" style="814" customWidth="1"/>
    <col min="13044" max="13044" width="21.5703125" style="814" customWidth="1"/>
    <col min="13045" max="13045" width="10.28515625" style="814" customWidth="1"/>
    <col min="13046" max="13046" width="7.28515625" style="814" customWidth="1"/>
    <col min="13047" max="13047" width="8.28515625" style="814" customWidth="1"/>
    <col min="13048" max="13057" width="7.28515625" style="814" customWidth="1"/>
    <col min="13058" max="13058" width="9.42578125" style="814" customWidth="1"/>
    <col min="13059" max="13298" width="10.140625" style="814"/>
    <col min="13299" max="13299" width="13.7109375" style="814" customWidth="1"/>
    <col min="13300" max="13300" width="21.5703125" style="814" customWidth="1"/>
    <col min="13301" max="13301" width="10.28515625" style="814" customWidth="1"/>
    <col min="13302" max="13302" width="7.28515625" style="814" customWidth="1"/>
    <col min="13303" max="13303" width="8.28515625" style="814" customWidth="1"/>
    <col min="13304" max="13313" width="7.28515625" style="814" customWidth="1"/>
    <col min="13314" max="13314" width="9.42578125" style="814" customWidth="1"/>
    <col min="13315" max="13554" width="10.140625" style="814"/>
    <col min="13555" max="13555" width="13.7109375" style="814" customWidth="1"/>
    <col min="13556" max="13556" width="21.5703125" style="814" customWidth="1"/>
    <col min="13557" max="13557" width="10.28515625" style="814" customWidth="1"/>
    <col min="13558" max="13558" width="7.28515625" style="814" customWidth="1"/>
    <col min="13559" max="13559" width="8.28515625" style="814" customWidth="1"/>
    <col min="13560" max="13569" width="7.28515625" style="814" customWidth="1"/>
    <col min="13570" max="13570" width="9.42578125" style="814" customWidth="1"/>
    <col min="13571" max="13810" width="10.140625" style="814"/>
    <col min="13811" max="13811" width="13.7109375" style="814" customWidth="1"/>
    <col min="13812" max="13812" width="21.5703125" style="814" customWidth="1"/>
    <col min="13813" max="13813" width="10.28515625" style="814" customWidth="1"/>
    <col min="13814" max="13814" width="7.28515625" style="814" customWidth="1"/>
    <col min="13815" max="13815" width="8.28515625" style="814" customWidth="1"/>
    <col min="13816" max="13825" width="7.28515625" style="814" customWidth="1"/>
    <col min="13826" max="13826" width="9.42578125" style="814" customWidth="1"/>
    <col min="13827" max="14066" width="10.140625" style="814"/>
    <col min="14067" max="14067" width="13.7109375" style="814" customWidth="1"/>
    <col min="14068" max="14068" width="21.5703125" style="814" customWidth="1"/>
    <col min="14069" max="14069" width="10.28515625" style="814" customWidth="1"/>
    <col min="14070" max="14070" width="7.28515625" style="814" customWidth="1"/>
    <col min="14071" max="14071" width="8.28515625" style="814" customWidth="1"/>
    <col min="14072" max="14081" width="7.28515625" style="814" customWidth="1"/>
    <col min="14082" max="14082" width="9.42578125" style="814" customWidth="1"/>
    <col min="14083" max="14322" width="10.140625" style="814"/>
    <col min="14323" max="14323" width="13.7109375" style="814" customWidth="1"/>
    <col min="14324" max="14324" width="21.5703125" style="814" customWidth="1"/>
    <col min="14325" max="14325" width="10.28515625" style="814" customWidth="1"/>
    <col min="14326" max="14326" width="7.28515625" style="814" customWidth="1"/>
    <col min="14327" max="14327" width="8.28515625" style="814" customWidth="1"/>
    <col min="14328" max="14337" width="7.28515625" style="814" customWidth="1"/>
    <col min="14338" max="14338" width="9.42578125" style="814" customWidth="1"/>
    <col min="14339" max="14578" width="10.140625" style="814"/>
    <col min="14579" max="14579" width="13.7109375" style="814" customWidth="1"/>
    <col min="14580" max="14580" width="21.5703125" style="814" customWidth="1"/>
    <col min="14581" max="14581" width="10.28515625" style="814" customWidth="1"/>
    <col min="14582" max="14582" width="7.28515625" style="814" customWidth="1"/>
    <col min="14583" max="14583" width="8.28515625" style="814" customWidth="1"/>
    <col min="14584" max="14593" width="7.28515625" style="814" customWidth="1"/>
    <col min="14594" max="14594" width="9.42578125" style="814" customWidth="1"/>
    <col min="14595" max="14834" width="10.140625" style="814"/>
    <col min="14835" max="14835" width="13.7109375" style="814" customWidth="1"/>
    <col min="14836" max="14836" width="21.5703125" style="814" customWidth="1"/>
    <col min="14837" max="14837" width="10.28515625" style="814" customWidth="1"/>
    <col min="14838" max="14838" width="7.28515625" style="814" customWidth="1"/>
    <col min="14839" max="14839" width="8.28515625" style="814" customWidth="1"/>
    <col min="14840" max="14849" width="7.28515625" style="814" customWidth="1"/>
    <col min="14850" max="14850" width="9.42578125" style="814" customWidth="1"/>
    <col min="14851" max="15090" width="10.140625" style="814"/>
    <col min="15091" max="15091" width="13.7109375" style="814" customWidth="1"/>
    <col min="15092" max="15092" width="21.5703125" style="814" customWidth="1"/>
    <col min="15093" max="15093" width="10.28515625" style="814" customWidth="1"/>
    <col min="15094" max="15094" width="7.28515625" style="814" customWidth="1"/>
    <col min="15095" max="15095" width="8.28515625" style="814" customWidth="1"/>
    <col min="15096" max="15105" width="7.28515625" style="814" customWidth="1"/>
    <col min="15106" max="15106" width="9.42578125" style="814" customWidth="1"/>
    <col min="15107" max="15346" width="10.140625" style="814"/>
    <col min="15347" max="15347" width="13.7109375" style="814" customWidth="1"/>
    <col min="15348" max="15348" width="21.5703125" style="814" customWidth="1"/>
    <col min="15349" max="15349" width="10.28515625" style="814" customWidth="1"/>
    <col min="15350" max="15350" width="7.28515625" style="814" customWidth="1"/>
    <col min="15351" max="15351" width="8.28515625" style="814" customWidth="1"/>
    <col min="15352" max="15361" width="7.28515625" style="814" customWidth="1"/>
    <col min="15362" max="15362" width="9.42578125" style="814" customWidth="1"/>
    <col min="15363" max="15602" width="10.140625" style="814"/>
    <col min="15603" max="15603" width="13.7109375" style="814" customWidth="1"/>
    <col min="15604" max="15604" width="21.5703125" style="814" customWidth="1"/>
    <col min="15605" max="15605" width="10.28515625" style="814" customWidth="1"/>
    <col min="15606" max="15606" width="7.28515625" style="814" customWidth="1"/>
    <col min="15607" max="15607" width="8.28515625" style="814" customWidth="1"/>
    <col min="15608" max="15617" width="7.28515625" style="814" customWidth="1"/>
    <col min="15618" max="15618" width="9.42578125" style="814" customWidth="1"/>
    <col min="15619" max="15858" width="10.140625" style="814"/>
    <col min="15859" max="15859" width="13.7109375" style="814" customWidth="1"/>
    <col min="15860" max="15860" width="21.5703125" style="814" customWidth="1"/>
    <col min="15861" max="15861" width="10.28515625" style="814" customWidth="1"/>
    <col min="15862" max="15862" width="7.28515625" style="814" customWidth="1"/>
    <col min="15863" max="15863" width="8.28515625" style="814" customWidth="1"/>
    <col min="15864" max="15873" width="7.28515625" style="814" customWidth="1"/>
    <col min="15874" max="15874" width="9.42578125" style="814" customWidth="1"/>
    <col min="15875" max="16114" width="10.140625" style="814"/>
    <col min="16115" max="16115" width="13.7109375" style="814" customWidth="1"/>
    <col min="16116" max="16116" width="21.5703125" style="814" customWidth="1"/>
    <col min="16117" max="16117" width="10.28515625" style="814" customWidth="1"/>
    <col min="16118" max="16118" width="7.28515625" style="814" customWidth="1"/>
    <col min="16119" max="16119" width="8.28515625" style="814" customWidth="1"/>
    <col min="16120" max="16129" width="7.28515625" style="814" customWidth="1"/>
    <col min="16130" max="16130" width="9.42578125" style="814" customWidth="1"/>
    <col min="16131" max="16384" width="10.140625" style="814"/>
  </cols>
  <sheetData>
    <row r="1" spans="1:14" ht="22.5" customHeight="1">
      <c r="A1" s="1604" t="s">
        <v>542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6"/>
    </row>
    <row r="2" spans="1:14" ht="17.25" customHeight="1">
      <c r="A2" s="815"/>
      <c r="M2" s="817" t="s">
        <v>417</v>
      </c>
    </row>
    <row r="3" spans="1:14" ht="33" customHeight="1">
      <c r="A3" s="1607" t="s">
        <v>316</v>
      </c>
      <c r="B3" s="1608" t="s">
        <v>50</v>
      </c>
      <c r="C3" s="1609"/>
      <c r="D3" s="1609" t="s">
        <v>45</v>
      </c>
      <c r="E3" s="1609"/>
      <c r="F3" s="1610" t="s">
        <v>439</v>
      </c>
      <c r="G3" s="1611"/>
      <c r="H3" s="1609" t="s">
        <v>440</v>
      </c>
      <c r="I3" s="1609"/>
      <c r="J3" s="1609" t="s">
        <v>441</v>
      </c>
      <c r="K3" s="1609"/>
      <c r="L3" s="1609" t="s">
        <v>141</v>
      </c>
      <c r="M3" s="1612"/>
    </row>
    <row r="4" spans="1:14" ht="48.75" customHeight="1">
      <c r="A4" s="1607"/>
      <c r="B4" s="1157" t="s">
        <v>24</v>
      </c>
      <c r="C4" s="1156" t="s">
        <v>442</v>
      </c>
      <c r="D4" s="1157" t="s">
        <v>24</v>
      </c>
      <c r="E4" s="1156" t="s">
        <v>442</v>
      </c>
      <c r="F4" s="1157" t="s">
        <v>24</v>
      </c>
      <c r="G4" s="1156" t="s">
        <v>442</v>
      </c>
      <c r="H4" s="1157" t="s">
        <v>24</v>
      </c>
      <c r="I4" s="1156" t="s">
        <v>442</v>
      </c>
      <c r="J4" s="1157" t="s">
        <v>24</v>
      </c>
      <c r="K4" s="1156" t="s">
        <v>442</v>
      </c>
      <c r="L4" s="1157" t="s">
        <v>24</v>
      </c>
      <c r="M4" s="1158" t="s">
        <v>313</v>
      </c>
    </row>
    <row r="5" spans="1:14">
      <c r="A5" s="1124" t="s">
        <v>162</v>
      </c>
      <c r="B5" s="1125" t="s">
        <v>163</v>
      </c>
      <c r="C5" s="1125" t="s">
        <v>164</v>
      </c>
      <c r="D5" s="1125" t="s">
        <v>165</v>
      </c>
      <c r="E5" s="1125" t="s">
        <v>166</v>
      </c>
      <c r="F5" s="1126" t="s">
        <v>167</v>
      </c>
      <c r="G5" s="1126" t="s">
        <v>168</v>
      </c>
      <c r="H5" s="1125" t="s">
        <v>169</v>
      </c>
      <c r="I5" s="1125" t="s">
        <v>170</v>
      </c>
      <c r="J5" s="1126" t="s">
        <v>171</v>
      </c>
      <c r="K5" s="1125" t="s">
        <v>172</v>
      </c>
      <c r="L5" s="1125" t="s">
        <v>173</v>
      </c>
      <c r="M5" s="1127" t="s">
        <v>174</v>
      </c>
    </row>
    <row r="6" spans="1:14" ht="15" customHeight="1">
      <c r="A6" s="818" t="s">
        <v>443</v>
      </c>
      <c r="B6" s="1272">
        <v>61.782965473999994</v>
      </c>
      <c r="C6" s="1273">
        <v>0.78500295878209436</v>
      </c>
      <c r="D6" s="1272">
        <v>5.4759064100000012</v>
      </c>
      <c r="E6" s="1273">
        <v>6.957585640127309E-2</v>
      </c>
      <c r="F6" s="1272">
        <v>9.1519748350000025</v>
      </c>
      <c r="G6" s="1273">
        <v>0.11628330348108069</v>
      </c>
      <c r="H6" s="1272">
        <v>1.69483655</v>
      </c>
      <c r="I6" s="1273">
        <v>2.1534280463794318E-2</v>
      </c>
      <c r="J6" s="1272">
        <v>0.59843469999999999</v>
      </c>
      <c r="K6" s="1273">
        <v>7.6036008717575822E-3</v>
      </c>
      <c r="L6" s="1274">
        <v>78.704117968999995</v>
      </c>
      <c r="M6" s="1275">
        <v>7.1912698422859052</v>
      </c>
      <c r="N6" s="1276"/>
    </row>
    <row r="7" spans="1:14" ht="15" customHeight="1">
      <c r="A7" s="819" t="s">
        <v>444</v>
      </c>
      <c r="B7" s="1272">
        <v>64.405737361000007</v>
      </c>
      <c r="C7" s="1273">
        <v>0.76702602070682735</v>
      </c>
      <c r="D7" s="1272">
        <v>5.7294391399999984</v>
      </c>
      <c r="E7" s="1273">
        <v>6.8233500375965761E-2</v>
      </c>
      <c r="F7" s="1272">
        <v>10.69410862</v>
      </c>
      <c r="G7" s="1273">
        <v>0.12735914401272247</v>
      </c>
      <c r="H7" s="1272">
        <v>2.52453393</v>
      </c>
      <c r="I7" s="1273">
        <v>3.0065383827742927E-2</v>
      </c>
      <c r="J7" s="1272">
        <v>0.61430670000000009</v>
      </c>
      <c r="K7" s="1273">
        <v>7.3159510767415708E-3</v>
      </c>
      <c r="L7" s="1274">
        <v>83.968125751000002</v>
      </c>
      <c r="M7" s="1275">
        <v>9.8886637583102068</v>
      </c>
      <c r="N7" s="1276"/>
    </row>
    <row r="8" spans="1:14" ht="15" customHeight="1">
      <c r="A8" s="819" t="s">
        <v>445</v>
      </c>
      <c r="B8" s="1272">
        <v>63.097655449000008</v>
      </c>
      <c r="C8" s="1273">
        <v>0.7440610410563685</v>
      </c>
      <c r="D8" s="1272">
        <v>5.5042814700000005</v>
      </c>
      <c r="E8" s="1273">
        <v>6.490766371098794E-2</v>
      </c>
      <c r="F8" s="1272">
        <v>12.964407590999999</v>
      </c>
      <c r="G8" s="1273">
        <v>0.15287906563557463</v>
      </c>
      <c r="H8" s="1272">
        <v>2.6074030600000002</v>
      </c>
      <c r="I8" s="1273">
        <v>3.0747054252202137E-2</v>
      </c>
      <c r="J8" s="1272">
        <v>0.62797160000000007</v>
      </c>
      <c r="K8" s="1273">
        <v>7.4051753448667731E-3</v>
      </c>
      <c r="L8" s="1274">
        <v>84.801719170000013</v>
      </c>
      <c r="M8" s="1275">
        <v>14.710077738850494</v>
      </c>
      <c r="N8" s="1276"/>
    </row>
    <row r="9" spans="1:14" ht="15" customHeight="1">
      <c r="A9" s="819" t="s">
        <v>446</v>
      </c>
      <c r="B9" s="1272">
        <v>55.041276726000007</v>
      </c>
      <c r="C9" s="1273">
        <v>0.74416027580635902</v>
      </c>
      <c r="D9" s="1272">
        <v>4.2311530599999996</v>
      </c>
      <c r="E9" s="1273">
        <v>5.7205359602808412E-2</v>
      </c>
      <c r="F9" s="1272">
        <v>11.991078891999999</v>
      </c>
      <c r="G9" s="1273">
        <v>0.16211986905586095</v>
      </c>
      <c r="H9" s="1272">
        <v>2.1592355900000002</v>
      </c>
      <c r="I9" s="1273">
        <v>2.9192952049135325E-2</v>
      </c>
      <c r="J9" s="1272">
        <v>0.54153266999999994</v>
      </c>
      <c r="K9" s="1273">
        <v>7.3215434858362174E-3</v>
      </c>
      <c r="L9" s="1274">
        <v>73.964276938000012</v>
      </c>
      <c r="M9" s="1275">
        <v>6.3010591233113162</v>
      </c>
      <c r="N9" s="1276"/>
    </row>
    <row r="10" spans="1:14" ht="15" customHeight="1">
      <c r="A10" s="819" t="s">
        <v>447</v>
      </c>
      <c r="B10" s="1272">
        <v>46.066667901000002</v>
      </c>
      <c r="C10" s="1273">
        <v>0.73522963981458977</v>
      </c>
      <c r="D10" s="1272">
        <v>3.7618778700000006</v>
      </c>
      <c r="E10" s="1273">
        <v>6.0040029752760488E-2</v>
      </c>
      <c r="F10" s="1272">
        <v>10.443318014000003</v>
      </c>
      <c r="G10" s="1273">
        <v>0.16667662958396351</v>
      </c>
      <c r="H10" s="1272">
        <v>1.9166768700000001</v>
      </c>
      <c r="I10" s="1273">
        <v>3.0590396678993683E-2</v>
      </c>
      <c r="J10" s="1272">
        <v>0.46762199999999998</v>
      </c>
      <c r="K10" s="1273">
        <v>7.4633041696926111E-3</v>
      </c>
      <c r="L10" s="1274">
        <v>62.656162655000003</v>
      </c>
      <c r="M10" s="1275">
        <v>-7.5240389423502698</v>
      </c>
      <c r="N10" s="1276"/>
    </row>
    <row r="11" spans="1:14" ht="15" customHeight="1">
      <c r="A11" s="819" t="s">
        <v>448</v>
      </c>
      <c r="B11" s="1272">
        <v>50.94755356000001</v>
      </c>
      <c r="C11" s="1273">
        <v>0.73988513700639025</v>
      </c>
      <c r="D11" s="1272">
        <v>3.74689066</v>
      </c>
      <c r="E11" s="1273">
        <v>5.441416742527614E-2</v>
      </c>
      <c r="F11" s="1272">
        <v>11.733278562000004</v>
      </c>
      <c r="G11" s="1273">
        <v>0.17039637450217762</v>
      </c>
      <c r="H11" s="1272">
        <v>1.9947032400000002</v>
      </c>
      <c r="I11" s="1273">
        <v>2.8968050021801486E-2</v>
      </c>
      <c r="J11" s="1272">
        <v>0.43630759999999996</v>
      </c>
      <c r="K11" s="1273">
        <v>6.3362710443545227E-3</v>
      </c>
      <c r="L11" s="1274">
        <v>68.858733622000017</v>
      </c>
      <c r="M11" s="1275">
        <v>2.3784677470673312</v>
      </c>
      <c r="N11" s="1276"/>
    </row>
    <row r="12" spans="1:14" ht="15" customHeight="1">
      <c r="A12" s="819" t="s">
        <v>449</v>
      </c>
      <c r="B12" s="1272">
        <v>62.467775735000004</v>
      </c>
      <c r="C12" s="1273">
        <v>0.73840023183650971</v>
      </c>
      <c r="D12" s="1272">
        <v>5.3938519200000012</v>
      </c>
      <c r="E12" s="1273">
        <v>6.3758017015295668E-2</v>
      </c>
      <c r="F12" s="1272">
        <v>13.975827856999999</v>
      </c>
      <c r="G12" s="1273">
        <v>0.16520124829631008</v>
      </c>
      <c r="H12" s="1272">
        <v>2.2234755700000002</v>
      </c>
      <c r="I12" s="1273">
        <v>2.6282589015746319E-2</v>
      </c>
      <c r="J12" s="1272">
        <v>0.53787189999999996</v>
      </c>
      <c r="K12" s="1273">
        <v>6.3579138361383484E-3</v>
      </c>
      <c r="L12" s="1274">
        <v>84.598802981999995</v>
      </c>
      <c r="M12" s="1275">
        <v>7.6704207376673521</v>
      </c>
      <c r="N12" s="1276"/>
    </row>
    <row r="13" spans="1:14" ht="15" customHeight="1">
      <c r="A13" s="819" t="s">
        <v>450</v>
      </c>
      <c r="B13" s="1272">
        <v>67.179868987999981</v>
      </c>
      <c r="C13" s="1273">
        <v>0.7401729612312935</v>
      </c>
      <c r="D13" s="1272">
        <v>6.3107330200000007</v>
      </c>
      <c r="E13" s="1273">
        <v>6.9530262820069938E-2</v>
      </c>
      <c r="F13" s="1272">
        <v>14.342660401999996</v>
      </c>
      <c r="G13" s="1273">
        <v>0.15802426503063657</v>
      </c>
      <c r="H13" s="1272">
        <v>2.3851158100000003</v>
      </c>
      <c r="I13" s="1273">
        <v>2.627867929130109E-2</v>
      </c>
      <c r="J13" s="1272">
        <v>0.54401449999999996</v>
      </c>
      <c r="K13" s="1273">
        <v>5.9938316266988792E-3</v>
      </c>
      <c r="L13" s="1274">
        <v>90.76239271999998</v>
      </c>
      <c r="M13" s="1275">
        <v>7.3349015137180436</v>
      </c>
      <c r="N13" s="1276"/>
    </row>
    <row r="14" spans="1:14" ht="15" customHeight="1">
      <c r="A14" s="819" t="s">
        <v>451</v>
      </c>
      <c r="B14" s="1272">
        <v>72.371174510999992</v>
      </c>
      <c r="C14" s="1273">
        <v>0.73884086290362616</v>
      </c>
      <c r="D14" s="1272">
        <v>6.6069042099999997</v>
      </c>
      <c r="E14" s="1273">
        <v>6.7450208465195602E-2</v>
      </c>
      <c r="F14" s="1272">
        <v>15.625541827999999</v>
      </c>
      <c r="G14" s="1273">
        <v>0.15952192133874354</v>
      </c>
      <c r="H14" s="1272">
        <v>2.8168454400000003</v>
      </c>
      <c r="I14" s="1273">
        <v>2.8757312971885159E-2</v>
      </c>
      <c r="J14" s="1272">
        <v>0.53185114</v>
      </c>
      <c r="K14" s="1273">
        <v>5.4296943205495536E-3</v>
      </c>
      <c r="L14" s="1274">
        <v>97.952317128999994</v>
      </c>
      <c r="M14" s="1275">
        <v>5.3386642674323506</v>
      </c>
      <c r="N14" s="1276"/>
    </row>
    <row r="15" spans="1:14" ht="15" customHeight="1">
      <c r="A15" s="819" t="s">
        <v>452</v>
      </c>
      <c r="B15" s="1272">
        <v>77.791519507999993</v>
      </c>
      <c r="C15" s="1273">
        <v>0.74490082607765229</v>
      </c>
      <c r="D15" s="1272">
        <v>6.9716998300000022</v>
      </c>
      <c r="E15" s="1273">
        <v>6.6758240427458995E-2</v>
      </c>
      <c r="F15" s="1272">
        <v>16.434690690000004</v>
      </c>
      <c r="G15" s="1273">
        <v>0.1573720985107217</v>
      </c>
      <c r="H15" s="1272">
        <v>2.6377991899999995</v>
      </c>
      <c r="I15" s="1273">
        <v>2.5258521855404739E-2</v>
      </c>
      <c r="J15" s="1272">
        <v>0.59633970000000014</v>
      </c>
      <c r="K15" s="1273">
        <v>5.7103131287622811E-3</v>
      </c>
      <c r="L15" s="1274">
        <v>104.43204891799999</v>
      </c>
      <c r="M15" s="1275">
        <v>4.3610833813007099</v>
      </c>
      <c r="N15" s="1276"/>
    </row>
    <row r="16" spans="1:14" ht="15" customHeight="1">
      <c r="A16" s="819" t="s">
        <v>453</v>
      </c>
      <c r="B16" s="1272">
        <v>74.120838438999996</v>
      </c>
      <c r="C16" s="1273">
        <v>0.75399568637754255</v>
      </c>
      <c r="D16" s="1272">
        <v>6.3618611260000009</v>
      </c>
      <c r="E16" s="1273">
        <v>6.4716157390538182E-2</v>
      </c>
      <c r="F16" s="1272">
        <v>14.845506467000003</v>
      </c>
      <c r="G16" s="1273">
        <v>0.15101620642648159</v>
      </c>
      <c r="H16" s="1272">
        <v>2.4941454199999997</v>
      </c>
      <c r="I16" s="1273">
        <v>2.5371743324597983E-2</v>
      </c>
      <c r="J16" s="1272">
        <v>0.48171020000000003</v>
      </c>
      <c r="K16" s="1273">
        <v>4.9002064808397429E-3</v>
      </c>
      <c r="L16" s="1274">
        <v>98.304061652000001</v>
      </c>
      <c r="M16" s="1275">
        <v>1.7577186220317651</v>
      </c>
      <c r="N16" s="1276"/>
    </row>
    <row r="17" spans="1:18" ht="15" customHeight="1">
      <c r="A17" s="820" t="s">
        <v>454</v>
      </c>
      <c r="B17" s="1272">
        <v>85.782630019999999</v>
      </c>
      <c r="C17" s="1273">
        <v>0.72378290212608942</v>
      </c>
      <c r="D17" s="1272">
        <v>8.9117973400000032</v>
      </c>
      <c r="E17" s="1273">
        <v>7.5192454934069022E-2</v>
      </c>
      <c r="F17" s="1272">
        <v>19.325008070000003</v>
      </c>
      <c r="G17" s="1273">
        <v>0.16305294464920975</v>
      </c>
      <c r="H17" s="1272">
        <v>3.9342475600000006</v>
      </c>
      <c r="I17" s="1273">
        <v>3.3194845110197595E-2</v>
      </c>
      <c r="J17" s="1272">
        <v>0.56615185000000012</v>
      </c>
      <c r="K17" s="1273">
        <v>4.7768531804342849E-3</v>
      </c>
      <c r="L17" s="1274">
        <v>118.51983484</v>
      </c>
      <c r="M17" s="1275">
        <v>1.5803034385820558</v>
      </c>
      <c r="N17" s="1276"/>
    </row>
    <row r="18" spans="1:18" ht="30" customHeight="1" thickBot="1">
      <c r="A18" s="1123" t="s">
        <v>76</v>
      </c>
      <c r="B18" s="1468">
        <v>781.05566367199981</v>
      </c>
      <c r="C18" s="1469">
        <v>0.74562178218183128</v>
      </c>
      <c r="D18" s="1468">
        <v>69.006396056000014</v>
      </c>
      <c r="E18" s="1469">
        <v>6.5875806811673404E-2</v>
      </c>
      <c r="F18" s="1468">
        <v>161.527401828</v>
      </c>
      <c r="G18" s="1469">
        <v>0.15419944419322665</v>
      </c>
      <c r="H18" s="1468">
        <v>29.389018230000001</v>
      </c>
      <c r="I18" s="1469">
        <v>2.8055736829570209E-2</v>
      </c>
      <c r="J18" s="1468">
        <v>6.5441145599999997</v>
      </c>
      <c r="K18" s="1469">
        <v>6.247229983698528E-3</v>
      </c>
      <c r="L18" s="1467">
        <v>1047.5225943459998</v>
      </c>
      <c r="M18" s="1470">
        <v>4.9804870133670232</v>
      </c>
      <c r="N18" s="1276"/>
    </row>
    <row r="19" spans="1:18" ht="30" customHeight="1" thickTop="1">
      <c r="A19" s="1276"/>
      <c r="B19" s="1276"/>
      <c r="C19" s="1276"/>
      <c r="D19" s="1276"/>
      <c r="E19" s="1276"/>
      <c r="F19" s="1276"/>
      <c r="G19" s="1276"/>
      <c r="H19" s="1276"/>
      <c r="I19" s="1276"/>
      <c r="J19" s="1276"/>
      <c r="K19" s="1276"/>
      <c r="L19" s="1276"/>
      <c r="M19" s="1276"/>
      <c r="N19" s="1276"/>
      <c r="O19" s="1276"/>
      <c r="P19" s="1276"/>
      <c r="Q19" s="1276"/>
      <c r="R19" s="1276"/>
    </row>
    <row r="20" spans="1:18" ht="30" customHeight="1">
      <c r="A20" s="1276"/>
      <c r="B20" s="1276"/>
      <c r="C20" s="1276"/>
      <c r="D20" s="1276"/>
      <c r="E20" s="1276"/>
      <c r="F20" s="1276"/>
      <c r="G20" s="1276"/>
      <c r="H20" s="1276"/>
      <c r="I20" s="1276"/>
      <c r="J20" s="1276"/>
      <c r="K20" s="1276"/>
      <c r="L20" s="1276"/>
      <c r="M20" s="1276"/>
      <c r="N20" s="1276"/>
      <c r="O20" s="1276"/>
      <c r="P20" s="1276"/>
      <c r="Q20" s="1276"/>
      <c r="R20" s="1276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27559055118110237" right="0.27559055118110237" top="0.59055118110236227" bottom="0.17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L V S y 0 7 D M B D 8 F c v 3 N E 1 5 q E F J q g p U U a l Q R E G 0 x 6 2 z S S 0 S O 8 Q O K d / G g U / i F 9 g k p S 3 i w I m T v T v j n d l d f 7 5 / B K N t n r F X L I 3 U K u R e r 8 8 Z K q F j q d K Q V z Z x h n w U B Z e V s T q / g c L M p L G M 3 i h z s T V x y D f W F h e u W 9 d 1 r z 7 p 6 T J 1 B / 2 + 5 y 5 v Z g u x w R z 4 n i z / J j t S G Q t K I D + W P L q z R y V f K t z b m Z K D M / Q 9 W A 9 8 B x N x 5 p y u k 4 H j D 8 7 X D p 6 c A g x F 7 A t B L m 4 h x 5 B 3 D x k 1 w j z O p j m k e C V N k c F b h 9 9 q h b v 8 k 4 z t Z k 6 T u U a Z b i z N h g D z g H m h S y j f Q p 5 A Z g 5 G F w U I v M I k C q Z m U U O x B B W v o p Y T u M c p w i 8 h k + s S L M 7 V R J b G R r a s s G H 9 A o g 8 0 + I Z 4 0 O l X R y M t 9 I s 2 U J A h n e i s 9 c G 8 y Q x a N s U 7 X J q x p X V V F d U G Q n S u D r b D U A F J p k s i k M 2 a q v e g 0 q R T U q d h 9 z x h l T l Q V P 7 z c W N A r c V 7 p i r / 9 f 3 d / L N + a 2 + I h f d J g 9 T 3 y V o s 3 u w + a 4 / g u b v R l 9 B n 3 P Q 9 Q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2.xml>��< ? x m l   v e r s i o n = " 1 . 0 "   e n c o d i n g = " u t f - 1 6 " ? > < D a t a M a s h u p   x m l n s = " h t t p : / / s c h e m a s . m i c r o s o f t . c o m / D a t a M a s h u p " > A A A A A G w D A A B Q S w M E F A A C A A g A r l 4 u V z B 9 t 2 i l A A A A 9 g A A A B I A H A B D b 2 5 m a W c v U G F j a 2 F n Z S 5 4 b W w g o h g A K K A U A A A A A A A A A A A A A A A A A A A A A A A A A A A A h Y + x C s I w G I R f p W R v k s Z F y t 8 4 O A l W B E F c Q x r b Y P t X m t T 0 3 R x 8 J F / B i l b d H O / u O 7 i 7 X 2 + w G J o 6 u p j O 2 R Y z k l B O I o O 6 L S y W G e n 9 M Z 6 T h Y S t 0 i d V m m i E 0 a W D s x m p v D + n j I U Q a J j R t i u Z 4 D x h h 3 y 9 0 5 V p V G z R e Y X a k E + r + N 8 i E v a v M V L Q R H A q h K A c 2 G R C b v E L i H H v M / 0 x Y d n X v u + M N B i v N s A m C e z 9 Q T 4 A U E s D B B Q A A g A I A K 5 e L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X i 5 X X f a r W G U A A A B 5 A A A A E w A c A E Z v c m 1 1 b G F z L 1 N l Y 3 R p b 2 4 x L m 0 g o h g A K K A U A A A A A A A A A A A A A A A A A A A A A A A A A A A A K 0 5 N L s n M z 1 M I h t C G 1 r x c v F z F G Y l F q S k K I Y l J O a l G C r Y K O a k l v F w K Q B C c X 1 q U n A o U c a 1 I T s 3 R c y 4 t K k r N K w n P L 8 p O y s / P 1 t C s j v Z L z E 2 1 V Y L o V I q t j X b O z y s B K o n l 5 c r M Q z b D G g B Q S w E C L Q A U A A I A C A C u X i 5 X M H 2 3 a K U A A A D 2 A A A A E g A A A A A A A A A A A A A A A A A A A A A A Q 2 9 u Z m l n L 1 B h Y 2 t h Z 2 U u e G 1 s U E s B A i 0 A F A A C A A g A r l 4 u V w / K 6 a u k A A A A 6 Q A A A B M A A A A A A A A A A A A A A A A A 8 Q A A A F t D b 2 5 0 Z W 5 0 X 1 R 5 c G V z X S 5 4 b W x Q S w E C L Q A U A A I A C A C u X i 5 X X f a r W G U A A A B 5 A A A A E w A A A A A A A A A A A A A A A A D i A Q A A R m 9 y b X V s Y X M v U 2 V j d G l v b j E u b V B L B Q Y A A A A A A w A D A M I A A A C U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C A A A A A A A A P w H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A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D k t M T R U M D Y 6 M j E 6 M D U u N T Q 1 N T g w M F o i I C 8 + P E V u d H J 5 I F R 5 c G U 9 I k Z p b G x D b 2 x 1 b W 5 U e X B l c y I g V m F s d W U 9 I n N B Q U F B I i A v P j x F b n R y e S B U e X B l P S J G a W x s Q 2 9 s d W 1 u T m F t Z X M i I F Z h b H V l P S J z W y Z x d W 9 0 O y g x K S Z x d W 9 0 O y w m c X V v d D s o M i k m c X V v d D s s J n F 1 b 3 Q 7 K D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1 N v d X J j Z S 5 7 K D E p L D B 9 J n F 1 b 3 Q 7 L C Z x d W 9 0 O 1 N l Y 3 R p b 2 4 x L 1 R h Y m x l M i 9 T b 3 V y Y 2 U u e y g y K S w x f S Z x d W 9 0 O y w m c X V v d D t T Z W N 0 a W 9 u M S 9 U Y W J s Z T I v U 2 9 1 c m N l L n s o M y k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y L 1 N v d X J j Z S 5 7 K D E p L D B 9 J n F 1 b 3 Q 7 L C Z x d W 9 0 O 1 N l Y 3 R p b 2 4 x L 1 R h Y m x l M i 9 T b 3 V y Y 2 U u e y g y K S w x f S Z x d W 9 0 O y w m c X V v d D t T Z W N 0 a W 9 u M S 9 U Y W J s Z T I v U 2 9 1 c m N l L n s o M y k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i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z W S K r k j P k K j i 5 f 3 + D k z 8 Q A A A A A C A A A A A A A Q Z g A A A A E A A C A A A A D H c 9 R m V J d d 9 X O G c M c l p z v a r N 1 z x F m m P Q D f L G r p 9 x A X 2 g A A A A A O g A A A A A I A A C A A A A C 7 d X Q i N d e d r n K R S v Z K t s z + 8 k 1 y K U 3 m T b i O Q F T I x a 9 l E F A A A A A U 3 3 k y i 4 o o F 3 w E L C E V l M I d b E q Q g 9 m H H r 0 6 q B 3 8 k 3 f U q 5 z B i v 1 u K 7 Z + w 0 M 9 O V 8 I 8 7 4 a n R d d Q h H j V m K I n I R F m b B S b / + k Y Z / Y t 8 B O D f k R t Y h V C U A A A A C / 7 B q b + B y g 6 t 5 Z 4 8 Y t Z C 8 n Q x e F J l 7 2 9 v x p R i 7 6 Q f U I A V U M B I U 7 K V 1 P O i 0 W 8 n E d X s 2 2 G 3 5 Q G b I H G j a p H F X 2 j q G 0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D 7 2 6 D 9 5 E - 3 E 4 4 - 4 2 2 C - 8 9 A 8 - 3 F B E 5 2 1 1 1 D 7 6 } "   T o u r I d = " 5 8 7 c 7 2 c 8 - 7 f 1 5 - 4 9 4 7 - 9 8 1 c - f f 7 1 a c 5 2 c f 3 1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I A A A J i A W y J d J c A A O X y S U R B V H h e n P 0 H o K T X V S U K r 8 q 5 6 l b d n O / t n N V q d S u 1 o i X L s h z A A W x j Y 4 N J H h j y M A P D m 6 E H e G + A Y R h g E j z A w B A M x t n G y F G y l W O r c 7 w 5 h 7 q V c / r X 2 n W r 3 R b 2 / O + 9 0 / 3 d q v r C C f v s s P Y 5 + 5 z P s f P 2 N 7 S c D g e 8 X i 9 y u S x a 9 Q b c P h + S q S R i s R h q l S q C o R B c v G d m f h 5 B X g s G Q 9 j c 3 E K j X o f D 5 0 G r B b S a L T j 4 x c H 7 m j w P j 5 v f n b z W g t v R R A M e / P q / / g h C X h d O n n w A Q 4 N x P P O N b y I a D c J R b + K L X / w E e n q 8 z C O B 5 c 0 M H n r o I W Q y K V w 4 c w 7 7 D x 3 A F x / / C g 7 s 3 Y s 3 f O 9 j e P Z j f 4 R Q X x 9 e P v 0 q + n q 7 U a 1 W U a h W 0 D s w h n w m g / v u v g M L C 0 t Y W V 5 B x O 9 G t l j F y M g o W t U M W k 4 3 r l 6 + i o Y / i v 7 u B B b m Z / D A n X d g c T W J M 1 c u Y X R 0 F L V C C R N 7 d 6 N W r q C S L S D U F U E 6 n Y b L 6 4 f L 5 Y I b R T g 8 I S x v b M H r d q B a q W N 8 s A c b q S x C s T A 2 l r Y Q 6 Q o A L O v a 7 C x 2 7 B z C x a v T i I d D K O e L b M c O l B o e + L 0 B 5 u d D J Z c U u R C J x D E 9 N 4 t A I I B y L o 2 h o S F s b W 3 B F + k m 3 R w A + 6 Z S a y A c 9 E F p Z X 0 N 8 X g c u W w W f T 3 d q N V q q L M v R I 9 y q Y p I L M 4 2 5 + H 0 + e H 2 e u B j I f O L C y i Q 3 g G / H x G v G y 1 P E N V 8 D k 5 n i + X 6 2 M Y o i r U c a q U i S m x X q V G G k 8 + C X Z r J N 5 A r b y E W C S P M 4 9 L 0 F G 7 Z e 4 J 9 5 s C B y b 3 I k 1 7 1 Y h m + r h D O v v o M 8 s V N B B w B d H c P w u V j 3 7 L + x X o V r r A L z n o R q y w 3 2 n D B E 4 3 B g R a W V l c x P t w P F C o o u l 3 4 + N d X y X d O a 2 u T h 2 v 7 W w t O / u X 5 J v N q V e F w u d F s u s h v H j i c D T K j c i M h y H U P n x x H N p 1 D t t B A a n U N R 4 9 O k u 5 R P P X K D L p D m + Q N D x a X y n z E D 0 e 5 j G B X F + r k 4 Q p L c L C v W q R t y w o W P 5 O 3 m y R E k 7 V x s y z + F n 9 3 k n 4 7 H I N 7 2 q f 0 l z c 6 K B h o N O D 0 e N A g s z i c T h K M 1 9 U i f V A 4 Y P f w k x m w G b y d j W B S h k p s D w W K t b A v L X i d L t 7 e 4 r 0 N 1 M l k L u b 7 r o d 3 4 i M n 3 o C p 0 g o 2 y T T L a y v M l s L n D i J E x r p 2 7 R q + 7 / t / E F 9 / 4 g s Y 7 h / i P S n E Q 1 E s k f k m 4 z G 4 / F 6 k s h n k c x l j p G q V H c 9 G S v i r 5 R o O H D i E v u 4 Y v v T k 0 7 h l / w E y j A O v v n Y a 0 U g E g 2 T U 8 1 e v Y W s 9 h 7 c 9 9 i C W F 2 Z Q I h M 6 W U + / x 4 8 q F U I 8 3 o 0 P f v g X q G T S S L O M / / V X f 4 n 3 f v / 7 M D w y h r X V D Q r I J W y Q o U u 5 H H r 7 E o j G e r F r x w 5 8 4 2 u f x 7 l L Z z A w m E C a w h 0 N x y l Y T T R 9 A V y b n r E 2 9 E V D W F 1 P o n 9 w D N 2 D o 0 g t z 2 K d 7 d + / 7 w D W V x f Z n i o G B 3 r Y H S 2 k 0 h n W y Y t Q l B 1 d L q L M t m b Z y T F 2 f C Q c N u H R 7 w C Z 3 k 8 h q b J f N j Y 2 s L K 6 i Z P 3 P Y h z 5 8 5 S W T o w O T a C a q 2 C X J 4 C 5 g 5 R K Q a R z 6 e Q S q W x + 8 B h p D f W s L G y h K G x n V j P r C L A L n a R F l u F N D L V E p V G k + 1 J s Q 8 9 O H L w I J L J L W z m N 5 H M b S E Q i Z K 3 K 8 i W c 4 h T C Q f Z x 0 4 y u M f t B f h c / 8 A u h K k k A u y f b L F I / q k h U 1 l F K B h F w k H l 3 S q z j i E U 8 x V U T W F l 4 W n 5 8 Y m v X U b D k 0 C d / f H P B U q 8 5 U Q X y q i x 3 0 p i x x Z 5 1 Z i 6 y T p U 8 O a H 9 m B 6 I Y 9 X L y 3 j 1 j 3 D C H o L q L j d m L q + S X o 3 c N s t 3 T j 9 2 q Y e R C 2 b g t c X I X 8 y b 9 b B F f Q D x R I c p F e d / U G B s N J b r Y a V 0 d o W 9 E 7 q C J f L H e s 5 J R l x s 7 H i f 6 + H m p V a v c W T L X c Y E U + d w h h C w + k l H S p s B n W D C C U B 3 D 7 a j d D B Q l w 8 b n z y n A j U p N C x P n / 2 e / 8 R X / r K N + F 3 0 A L E A 3 h 5 + h I 7 j d q Y R A + G I r R 4 D h Q K B T J S E z 2 9 M S z O X E S r k k d 3 1 I d e W q J y o 4 r i 5 i Z W 8 h m E Q 0 H 4 q Z k 8 T r 8 J U q y r G 4 u L y x S Y K O v U Q K m Y R y F b w v 6 J S Z y 5 c B 6 Z Y g 0 r m R x + 4 i P / G q + 8 e h 4 h M v q D D z + K z O o s f G S u U t W J j S 3 l G 0 G 8 u w c r K + v 4 0 l e / T I t Q w Q y F u 0 B t K o 3 3 t a 9 + B a u r S w h 7 H C g X M z y y W F 9 f x F B / L 1 5 9 4 W k q h h k U 2 B F 7 d + 7 E x O Q + X J u b R x e Z q V G q I R g I Y z m d x B q R g J O m J E N h D d N q 1 F p N + F o 1 W u 1 + + G i p C r k 8 i p U S 6 e 7 h P S X s 3 r U L G w s L R A 4 u d F O Q A u z s H m r 9 R q N m 9 H K S 3 v U a m Y 7 a s 1 A o U 7 A C F L Q 6 Q s x b Q t d k X 6 z T A m / l s 8 g V c + z D O i q 0 Q A F e 9 6 C G X C a P W r 6 A H K 2 H n 0 i l 1 x + i Z a K 1 K R O B k M Y p C k o k G E F f I o o A n 2 h 5 n A g F Q s i W c t g 9 t g c H a Z 3 E Y B 6 K A j k S f q c s q J s 0 K 2 F 4 d A A e M q y s Y T G 3 g n V a u E D A g 0 H W P 7 2 R R t 3 v w l w q h S A F q F R x I R E c Q p j K q Z Z 3 4 C M / + i P 4 0 h P P o k H G b D q Y t 6 w S + 6 B J v h K P u U k 3 K Z 8 m y I 9 2 j V 1 P A f M 0 H D h x r I 9 0 o S K r F V m P C o L k t 5 n 5 V V y 6 V C P q 4 v l y C U v z L L 9 W R o O W 2 O n 2 k y r M V 8 L k 9 1 l u T R q K B v v f J b M v Y e F l C b P x t + T 5 d c l J C + n 6 4 Y / 8 z K n B 4 S G c O H 4 b e h P d u L 6 0 a P D g v m P j e G h v C O 9 8 6 D D e f t 9 h r C Q 3 s J a t M E M H n L J I D R W y n Z M l V Y Y Q j 4 1 1 u a k p + N 3 J y i m 1 + N 1 F r R W j p u 1 y 1 f B z P / M R 3 H n 7 P Y S J f m x s V r B z / y E 0 n U F E 4 g N s l A s x Q g J p 5 3 y 1 R c 1 P W E a L E I 7 v w P j k A X z g R 3 4 C t 9 x y O / 7 m 7 z 5 O D Z n F C C 1 B k U y S T q a x Z 8 9 u V A n X 3 O w 8 0 X x + c R E F 5 n j / f Q + x E i S 7 i 2 U Q d j 3 4 w M O Y m b q O d 3 7 v u z A / d R 5 n z l + A j x a g U i q j q 8 t H A V m i t W p g o C e B M 6 + + g E R / F 5 V V l p C m h M t X L r C c M b R q J W y m V q n 1 8 4 S q X W w l L U V q A 1 U K x t z S C u q 0 H D t 3 7 8 L 1 2 a s o M V 9 / v A v n p q 9 g c m I c u W q a i o t Q s V p E l J o 5 F u l B p e X G w s o G + n v j C I S p z Q N + s / x + t q U m i E B t X i u 3 c O D 4 Q 7 h 4 e Y F 0 S y L g a 8 F D o c g X s v B R E r 0 8 n M w X j g Y t E I W O S g j N C q a m p + G n w o n G E 2 Q c i g Q V S K V e o 4 W S t X I S D k 9 g g d Z 2 e H y C c H s N D Z a X i F H 3 l x v Y I r M 7 i C h u O X I b r l w 8 j w D z S e f J i A E v f C 4 / 1 p M r W F 1 Z A D U C L W 8 M v e y v t a 1 N g / 0 6 e i I D V A B e B E J h 8 t A K L V O F Z b o R 5 7 0 1 t q / p D 2 J 8 Y B D O V p 6 0 c N D N 8 G K R 9 z V r S U L 6 Z 9 n 3 W d I m w P 6 s E d 5 R m b N u 5 E D j w y a / 1 5 v M g / l R Z x u S E v q p U 8 C 2 i F 6 6 + 2 P Y o M V f W K y y T 4 q k k w w F r U 2 B U I 6 Q 2 E E e p g j Q c P C 8 G Q b i L b o w E p 4 G X Z 1 W Q 9 z I T K m c x M N i d w e t o a X v I F C g c n I d v + / B U 6 + d P k 0 z e B 0 X r l x G g J j + + O 4 4 H j m U o F 8 w i r V N a l F 2 6 i D 9 i A c P 7 0 W 5 k C S s o E Y k l J T v J e 9 I S c J D Z 4 w Y n F q P m t W l Q 0 J F E 0 r 2 N g J c u H Y R s 8 T h v t I M f Y Q 1 D P Y R 4 x e p N S 6 e o 4 9 A r V F Y x / T V 8 6 j V i W B J o S B h n Z B j o 0 Y N z g 7 s o r / w 2 c 9 / n o y 3 a F o v 7 G k h S w 2 e 6 O q F g / d u U M D G C e f q 1 N w V E k R M O d 7 b j y i f 3 S p Q e 6 c 2 q c E 3 8 d e E b 7 G o G 1 9 + / H H 6 h E 6 U y f z T t G 5 d Z C J 1 W p D M 2 9 s 3 g C t T s x i n h X N T 8 9 x z 1 0 m D R P 3 y V a i x 1 p Z X C V E d G C R s W 1 5 e R 4 l 4 2 0 U t 6 m J n 9 C T 6 a F V 2 4 5 k X n m E + 3 a a 9 L 8 x O 0 Y p G M E / r F n O F M d R N / 4 j W p F I p Y 3 b x C n a N 7 S J U J Z Y X d G G b m 4 R u + u 6 j w A U 8 P n Z + l Z R u 4 O q 5 V x E O e z F E I a 7 T o m c z B c S 7 + n j 0 w k f L U i g S r p L p a + U m k u k C 4 V s W c f q 9 X V E / u m i V 6 x T u v o F R 5 u m i f 5 h n f Y H F 2 W V 0 9 / a i S n 8 x k Y g b l E 1 t 0 G o Q e s d p E c u E m o W t M v u n g A 3 B S 9 I 1 K G 1 M m E f v m z 6 W j 1 C 0 j h S h c Y a W v M n v b l o x v 2 A 5 Y a U v I t g m x N N i H 1 Q x N j h B f h p A V 8 8 w 7 j 1 6 P x J h K t J q E M H + Y a x v L c P N / i q w / 6 p U w n f c s g t X r s 6 T x w M U O v p e I k q b 4 2 i h W H k K p V s Q U 9 x O 9 i / T s j v I G 0 1 a 2 8 F B P + n n x t w c u Y + C B 0 J L B + n V Y B 4 t + m g O C h K N m Q m Q Q T a 2 x g y B r B + P l u 6 j 4 p H v R 0 Z u W 6 1 t S X L y P p O w m 5 L L S Z 9 4 L l M 8 V a b / U S e T l I j P W 6 x Z f 8 T F h u y l w 0 3 / h x p w Z m a G + D Z N k 5 z C i X 0 T 2 D n U h d 0 7 B j H W 7 a K W d a L E Y u o U J v k g H m o 8 N 3 v p w E Q / T h 7 d w w 6 J Y H G N c I n 2 s k V o 9 u s / / 3 6 8 8 Y 5 7 6 V P x X j q s G 5 k K 7 r 3 v Y R y / 4 0 6 s z 1 9 H j E I z 3 h 8 n o 3 s p n E F k C N P i M U I y l l 8 l n v f Q c m y Q K S d H B 2 m + r 2 B s r B 8 X r 0 9 T Q 1 H j s B 6 7 J 3 b C Q 9 i y s r K M I h k 0 T y i z v p H B 3 t 0 T 9 C 3 W q R B y 2 M f v 8 W i Q Z W c x 0 N e P k a E R I 9 T 0 / A q F K k J t 5 K b w L J s P s W / 3 J C q E P N N U B u F w z A Y N g l Q e K f o T 0 V i U k E F Q z k / 6 b J K + d T I W L S v L C N J X W 6 c A 7 9 + x k / 7 S h g 0 W + H 1 R s Q E i 1 M o + d l g 8 E U K Z s K l A + J X c 3 E B v z y D L D 1 E z N p F J Z a g s M s g V M t h K y 0 r 4 S I e o M b n b S e V A J g + x 3 E g k Z A o k T V 9 u d W 2 d v o j b F M g S a Z S n k C d 4 3 U 2 B l B L Y I P S J 0 v r N z 0 3 R O o D W k N a 9 X D F 4 O U y 4 u b I y T y u y h e 5 Y H D 5 a l N R G 0 m B n v l z F j j 3 7 M T 1 z n V b Q i 9 s O n a D V T R O q E o k Q d U R I J z / d A B 0 O a v U u t j 1 X o U V g n U Z J X 0 e L 5 d c K 9 N f Y D + M 7 q A R W s J F e p X A u 4 + q V K 5 h J L + P c w j U k 6 V c W 6 K / l s l R 8 j j D K 8 4 t Y z d d Q 9 0 b Z F g o K e 0 l m S I z f h l 6 k O I X B k B D 5 v C G I Z 0 z e J I 0 8 r C P 5 r h X F Z j J D w a C V K Z Z 5 H 9 U 7 B Z A a 2 4 S M b G s Q 0 g Y X + M M j a 2 f 5 8 1 b 2 k U N j B Y T S g p 0 t C p X c I p W l g j p + E 7 + o U L O b r p 9 6 z x 2 n h A 1 n l m m m K e G 6 y d 0 q Y O d 4 j 2 H U a 1 e v s 8 M r W E u m T O h Y U 3 7 W S K g w D u w Y w Y M n 9 m L v c B c O j H R R y / Y R B q V w c n + M T i U 7 w 5 G D s 7 y G D 7 z l A f z A 2 x / B j 7 7 3 H b j 9 w E E M T Y w g T F / n 6 W 9 8 k c 7 s B j J b C 3 j t t R c x T a i U o Q B E C U m K 1 G i p z D q F t E l I s Y r x 8 X F q u 4 z B o P 1 7 9 2 F 5 c Q n R r h i W C Q d j r N O R n f s R 7 y F 0 o m Z L Z 9 L 0 u X p Y T 5 p t E Y 1 W f I a d c / D o 7 R S q L f h p i d b p u A 8 N D G O K T E I 9 x P v o P P f 3 s f w i d g x 0 2 e 9 e + k U 5 d k q W Q p + i f 7 W e p E A S U 4 / S v y u X 6 K O R 2 Y u k j Q Y 8 K u y s Y V p 0 t 5 e a O e D j e W p z C t T u n T v o V 6 1 a L x T J L F 2 E n J 5 q A 2 F q S C + 1 X J 1 1 d 7 K X 6 u J w v w O j u 2 5 B D 5 k w m 1 z F g Y N H C G d r h M N O D A y P o r + 7 D 4 v L c 0 Q A T j K o E 8 m t F K 5 P z 9 l g g Z g o l d p q j 3 q y n y S 4 d U K a Y 7 f d R t h G l E E m 9 9 L y H r r l G P K 0 M h V a 6 r n F V e z a s 5 d l V w x + C l G U K Z w h + h B 5 + l X y J / Y c P I H u x A D G x v e a F f z e d 3 6 I d C W c n r p K h U N e I b 8 0 C f c 0 6 B Q J d Z k V C Q Z 9 x m g + C p s c / Y d O v g 2 D P Q M Y 6 N + D X I 5 W w l m F j 8 q 3 Q M i Z o v C M j 4 0 j Q x 8 z 5 C V s 7 I l R U Y W R y 7 t o X a o U + n 6 k m h 7 S m o K l g i U A M g 6 y I P y n g a y 2 q 0 E S k I Y a F W x p 5 I / W o l K j 4 k s W 6 T M V 4 a z S 0 h B Z N U l v E w Y T B I k B B Y G K g a J D W S P / a 1 C C 3 1 V / C Z V G P 5 v 0 0 w w O S o D a j 5 h V U + J T N / I x U f + D 3 / 7 p l p h i b S 2 J z 7 9 w h Q z T w E + 8 + x G 4 G n m M j 4 z j l T O n D a c X C 3 m a + g A 7 L U V i l 1 C u l 3 H v X X e z 8 d 2 I E S Y I p z d p E a K R I B k q j F k 6 + 8 + 9 f B q P P H A f W m R S B 6 3 N z M I a u n h v h Y y e 3 q p Q N q v o 7 f J b 5 S v U 7 H v 2 7 M E 0 f Z t e 3 u N m m V k 5 3 C R A h p Z E A x Y b m + v Y s W O S W t h H r B 4 i P E k g S W Z R Q 5 e X l t E g M Z b Z j p 1 j w 3 Q d 8 t S S N b a n i h w 1 v A R y h T 7 K n n 2 H s L S y Y i N j S n 3 d E a E G h M I U Y m q j 5 e k Z 9 F D g + g Y G y N A H 8 f k v f R k T F L Q y 2 7 a R T S F M Y Q n R V 0 l u E k q x 8 w N R 1 o G W z + c L I B y U t a h S C I r 0 x X r w 7 L n n 4 S e E L v J c j L 6 F i x 1 X p Z P c p I b s i 4 Z R o f K o 0 v I 0 2 d G O J m l a b W K F l m p o c A Q P 3 P s A p i 9 f R R f z j M d j 7 D Q q l r U 1 z M 7 O k s m 6 2 W Y n v I R 4 9 D b p z 9 U o 7 F Q U t C o a k A m H Q l Q E F U Q S g 1 h b m i I U D O D w 4 a P Y K p Y M R r p D f m y t L c H P 9 l + n X 3 R g 7 0 6 c Z V m 3 H t 6 D 1 y 7 N Y Z A + z T o F N 0 V I e m T f T r x 0 n j C c C m Z g e A Q h + j 5 R + s E Z 8 o D b 6 8 c a r X G r R Y h H 6 9 Q g r c W O N l B C R e g n v 3 Q F q Z h 5 X 7 W S 5 j 0 u 1 K p k T P p e E R 8 F s c 4 8 W L e a M 4 S z F 1 / h O d W I a K d J h T 2 x 1 6 Z l v n m Z 1 j n a j y J 9 + 2 K a r g A R i o b M m 2 R w L / 1 D 6 i Y i o v Y I X I 3 9 L e X W o B I V z / o 0 F b R G / 4 7 3 S w p l b Z o y S f y U D M j f l 0 u i Q T B L 8 o 8 k V H y 2 R a a Q c D l J 2 y a V t I N W q k X r J s E V v 2 2 b Q k s m z E w 6 7 7 r 1 8 K 5 T E X a u p H o P L c 3 9 t x 2 A q 0 I Y Q q z p I D S h V 4 C L F y / Z v M b A w J D N T f X K c W Z H p 7 a 2 k C / m c P H c W Q z 3 9 1 P z p d H Q 8 G k 6 g 5 G + Q f z g X Y / g / P R V T K 2 n M Z y I o J t + S T Q a o f 8 S I W F J Y P o E I w O 9 h E s 5 H D 5 0 i A w Z I C Q J Y 2 l 5 C R X 6 N R 6 f G K O B A I n u D 4 T Q 1 9 d H M 0 6 I Q s Z I r q 9 Y A 4 q 5 L L b I h K u p A v 7 q n 1 7 F 6 Z k U X r q 6 j O O H 9 y O Z 3 K A F b K K 7 p x d L t H 5 5 C p n m 2 Y b Y D g + h y 3 U K b 6 K X + L 1 c Q 2 9 3 N 6 1 K m b 7 R C j y 0 I s O D Q 7 h w + Q o G R 0 b o + 8 Q I w T Z s l C 6 v U b Q A 6 8 / O L F d a 5 t f l 6 A B L Y V U I n 3 z 0 G z K Z D E b 3 T O K F S 5 f g D r N j q e n T p M 2 e i Q k s z q w h S F + m x H r U q H l Z N G H l P t x 7 z x v x 1 S e e o d C R + X j y p f M v m 3 U N M f / n X n o Z B / Y f w C Y F t 5 v 1 D A Q j 4 g l T C n 5 a E w 3 C z C 0 s 0 K L 2 G z w P R 6 P G U H N T V 8 j E Z D D 6 N E u 8 f v X q J T Q I 3 z K E z + u p J B 1 4 F 0 7 e f T + t 3 g b i r N O 1 + a t k Z i f u P n k S 3 o A H c 1 Q 8 4 d g I f L R s 2 W K e b U 2 Q G Z 0 o s H / T x Q L y V B R e + m d h X p f u V r + 7 X V 7 W m x a b F s / H a 6 F Q D C 1 a r C b 7 8 9 K l W f R Q U R X o h 2 t g p O g g D 1 W A z d V r t K D s 3 / 4 B K t s K n w n S a n i Q E R / F q i i R v q v r e R M k + b g t c r D m v j T 8 4 K A w 6 Z u U s k b l x B N u 0 r v J + 6 Q E W R G 0 Z H 3 l 8 7 H P T X h 4 r 2 R A A t N J J i Q 8 / K x X g 7 D V L e g n i 8 g 8 J V w a o D C o u C 0 8 G j + 4 k W 7 6 6 n r 0 k Z O n T N r Y Q z 5 a k b r M I T 2 1 K h 3 8 e J T a s S u K s d F h m u I E T X q Q d S E + p Y 9 R q z U R p s N 6 6 d o 0 j t 5 y G I v z s 1 i m 3 + E h E Y / c 9 S Z 8 7 O O f w j e v X K T Q + 7 C x V U e o K 0 A N L A e v i C e f e R G j Q w k c 2 L 3 b J p F l M Z y s M J 0 q r M 7 P s 1 0 t C h E d 3 V I W m c 0 V F H J p G 7 2 h O j H M X K R m 9 1 L I 0 p m q 4 X u n N 4 y V T N O s h T f a j U E K 7 u e / / h K O T F B 4 4 1 H C h z S Z 0 I e B 7 k G b v N Z E 6 B 1 3 3 4 k c I d M C 6 9 1 g B z R a 9 D 3 I M B 4 K i 4 f a v 0 Q t K 6 u 1 u r h I q 1 K w E b 9 z V 6 8 S + u Z p C f x 4 7 M 3 v J 4 x c o B 9 R w 2 O P v Q v Z f M M E b W J 8 J + n S T Z 8 y h H P X L 5 A x i n j P g 2 8 l 3 K M i o M D O k 3 n / 1 S / + O 2 w u Z v C G h 9 5 K B R X G b s I u r z + M V 5 5 / l X C t g f e 9 5 w f o A 0 3 T d w D p e t 0 G K 3 r 7 h l l u z I a J S 6 S H K V o y 9 C a V S a V S o X 9 H 6 8 h r g w P y W V q 8 j 0 q C C i h A p S g G G a S P N N D X S w W Y o d D 7 s L a 6 g v 2 T + + E L R 8 h o p C X 9 H c 0 D + d i 2 F 8 + + i o P 7 j 2 B u e R n + S M y U Q U 9 3 z G h f p u / b 3 R M n 5 5 B P n H 5 4 C L e S W / Q 3 a U H 9 / F 5 h n R L 0 Q z 2 u M H 3 G C G G a w 6 Y c N J A 1 R A s X D n t w 7 b p G P g v 0 I w l L K Y h u Q r 1 c r o J E c A Q 9 X c M I u O M I + w k f q c w n h v d i N V 3 E 4 k b Z m F h W R Y z f n g d q D 6 W 7 e F R l R X j J B E u 5 a m C L f G J z U 6 y D Z k w b r J + H C K N F n p F 9 k R w I 2 u t T Q k Y p a u f N c 2 7 + p K 1 i X r R i 5 F F H V V C 1 P b V k t + u P v m / / 7 i T X 2 x 6 9 9 1 S T m l D 4 m U 8 Q W 5 d I Z E K 7 d J L V d J C Y N O m U z L w m u X h d c x + a v Y 8 Q V r g 9 J C 6 Z N 9 5 D 3 4 m + y d D w E K Z n 5 7 D 7 w A n c c e I 2 f P m r T x G + D O H u u 2 7 B / / j E l 3 C o m y b d F 0 Z P o p f m v G K T q Y V s n h A l S k h Z w B Y 7 d X x k l J D Y Q e c 8 Z k P G c r w T F O w E r U S K d Z H 2 C W i u p H + Y 2 r s f x + + 6 X V R B v 6 x I u W m j g p e u T q F C c t x / 5 z F 4 K A w 1 a m g b u a H v 4 S a E L N C C K G K g w v z G x 4 c I b 0 G B T N N n K 2 L v 7 l 3 0 1 d I Y o m X Y 3 F p D 3 + A w N t Z W c H V h k x q 6 F 8 P D A / S p 0 r S W I 3 j D g 4 / S h 7 l K A R 4 j 8 0 k R w J T D P Q 8 + g p n p e U T p w x w c m 8 Q G z y 0 n N 9 k Z H i R G E r h y 9 U X 0 R l x Y X Z 0 h N J 7 D y Z o f H 3 3 i U / Q x w o h 1 B 3 B 6 6 l U 6 2 B 5 j 5 L u O P Y g 3 P v h m H D p 4 C 7 b o x w 4 M 7 U C Y g q K o g i P 0 R / 0 S G C p B w S v x h A a G 9 N t N 6 6 4 R K t F R 0 R Q b m 5 u g 1 B I G J n D 2 / G k K g A Z h r q D I v p S / F y L i S B J a a 8 J X i j J L Z t z Y X C P U I W 1 7 E 9 i i z 1 k g 7 C / Q p / R 5 a F 1 K R d 6 T J S 1 S 8 J P o E T 4 f I H z V 6 K 6 U c 6 X u w i H C z P x m H h 4 v 6 + K K 0 F i Q x o S m g n W y F B 4 x K C 2 j h 3 x Q r p X R H Q 8 S A W w S x i 8 j E K Y g l p O 4 v r K I C z N l K j X 6 w u L Y b U m Q l + h w 0 H I w r 4 Z G 4 v h N w i T L 4 u L R o h 9 J 9 E s c K H 9 K Q H S b 9 6 m s 9 U 1 D 5 v o n y G e J z 2 o 4 X s l D G k p w G 6 y j C Z f X w / o y M 2 V o g v z d k + P f / e s f b W l Y N B 6 P w M 9 7 + T h I C z z z z N P Y T b i j F G a H l M r E u 1 Z R W h I m O W k 0 V K i y 8 4 L s 1 A K Z s 0 Q i C x 5 t p d M m i E M 9 / f x N 6 7 F O H y M 0 C D / h y s r 0 N e y / 9 Q R q m 9 M Y Z v 4 r Z A x N L 8 4 u i S G d 2 L l j p w 0 m 1 K g R Q m R + C Y A m L b 3 U / t e n l j A 2 G c G L r 2 3 g 4 N 5 h X L t 8 x i B b i M 7 v y E A 3 / u B z Z 3 F t s 2 A T y X D U E K B 1 + M A 9 O 1 G l x g p 6 o 4 Q v M f N v a l Q K w v g a 9 s 4 W G 3 S Y C d t o u T Q J r U n r T J P w l g z p Q h n J f J 1 + X h d 9 r 5 3 Y 2 K A D T Q s Q j E X x 0 o s v 0 6 q 5 c J 0 + z c h A H x Y z G 2 S u D I W S / h 4 t y 6 G x E X g I Z + p s U z j s w w r x f 7 q a o a A 3 E C E j J c K 0 n K U S H X E q J i q I F I V H E N j l 5 M M U / H y h Q d 0 T x U B X L 5 k t i w q Z v k b 4 K + W W y 2 2 h 4 q j i o c M n M E a L + P x L L y G h / i M z r 6 + t I t o z i E k q p i v X Z 2 i N 2 g y + S s Z f S S 5 T a D Y t o s L D s n x u Q i u 2 W d E M o z t 3 o V K s 0 A r V c I 3 + s J f Q V V Z H E z x d 3 b T 8 p F m 2 l K e F q t G H 7 L L R v w W i h 6 F e Q n b 6 q E H C 9 e G R I a z Q z 4 v S 4 m X J 5 E W 6 C Y 0 K L Z E i O B B C j B Z / n b 6 1 h / 3 V y + e G E n 1 Y p q W M J D T I Q 1 + X / p g i Q 8 T M X q E U + p 0 r J Q d O v 7 p u l k J D / G 3 m Y 5 P 0 m 9 Z S 7 F 0 k H R U S 5 n A o o q J u c 4 1 N 9 n N u f Z M W i c J M Y R G 8 b d I y S Z C d g n 4 s T 7 B Q Q q b p H g m W 7 t N A T I s C Z b 4 V e V 3 W v k W l 7 i R P N q h A H G 7 5 e Z I / 1 o D k s a m j 7 W f N h z p y Z P e p 2 Y V F G x b c O 7 k L a W r l G A X I S 4 K V a T U 2 k 0 n i 9 g T N t w / z Z J 5 Z O u 2 S 2 h B 9 H T G 7 2 9 m i u S W T U s t E I h F i + F k c p u Y s F q v E o w G z M A E y w R Y Z 9 m u n L + G 5 M 0 t 4 8 t l z 2 D U 5 C U 8 r g / X 1 p A m n f C b 5 Z 4 O D g 8 T 8 N T J P i U T v w + k r M / Q 1 y J Q h H 8 Y n e z B 1 b R n 7 9 / Z g e m Y B k z t 2 m f 9 T J M Z t u j 3 Y n f D i p c t L N O 0 k A P 9 V H D 5 c m N + i t g 5 i c j i G E q 2 s C D X A M j J b G 1 Q 2 X t Q I g Q p U F t 3 d v b S c X V h Z X k R 3 V 9 z i + C w U y k V N x c 7 d W F 7 n f R V a 5 w 2 8 / O I 5 p K n B n T 5 B 3 5 Z B 4 6 u 0 U G P 9 g 6 g S 1 t 5 3 7 H Y 6 z E 0 k m G e Y x x a Z L J 1 P o k S m V A 8 2 5 T g J Z r M u Y o l B 3 p P L 5 c 3 i y 7 n 3 e 5 3 s g y 5 K Y 5 W + D W E e P 6 8 v z L P j y q R j E p u F N H 7 9 r R / E / 3 r i H z G 9 t E D f k O c J X 1 u e K M r F G i 5 d v 4 L V t S 2 s J l f J s O u 0 / m U y / y o W V m Y Q p O O v C d n j t 9 z N 7 2 6 s b Z J Z y Y i z G 0 v 0 C Y u 0 d E H 6 u V H r A y n P H a O T c N I f 0 / S J X 7 4 Q 6 6 3 J 0 W A k Y N E e D Q q / l 4 K v o V Q h D g / 7 K s v 6 N A i 1 1 p Y X M E S / L k i f z 8 n 7 q q U a f 4 + T x q u E k P 2 Y n 1 8 k / 3 o x v 7 Z O p a v J d A + V s 4 8 I I k 1 F S Z r U 4 3 j x 1 U V y r + y P m N d 4 W T / t t 0 L Z K h o U I Q 8 q 3 E h z Q 7 J F p V y B A i P / q W a R E u 5 m 3 U Y 8 m x p g o I L T t M S N z H h e 3 y U Q d k g o y E s a E J G l 4 9 0 8 T 4 F j 3 k 3 y p P l s v I f / K V C 8 R t 6 T E C q Z Q N 1 6 2 / F T v / i L v 4 r 7 H 3 g U k / u O Y H F p k T 5 E D Z u 0 K h r W j E T C S C S 6 b X w + R A F x U 3 o l b A N D Q 8 T u J c K m M o n s x u D o K J 1 d h b 2 Q m V v U A M T M 1 + e u I c p n J P G 1 R h l v e + z d + A J 9 G 1 l i x c L t G e z B 8 N A A r k 7 N 4 O 4 7 7 r R h V k E R R S y M D g 3 i 3 I X z 8 N N 3 m l + Y Q 2 J w F A s z G 5 j Y 1 Q 9 X y U l N K W 1 E 4 t O S a X Q n 7 v P g 8 M n v x X 1 H 9 u K 2 W w 7 g z o N 7 8 P B t t + H d j z 3 G e z 2 4 S m 0 9 O h A 3 O L m V 2 r B 6 X p u m 7 + a P o i 8 R x j q h z 9 b 6 B v b u 2 q G p S h s I u T o z j 9 5 o w C D A F P 0 J z U N l a X 0 j s R B y 1 O o p 4 n 4 X N X r A 5 8 I 8 G V N D O A f 2 H 0 S a 8 E 5 0 K 1 E j n p + d Q V f A h a 5 I n N q 6 g q D m b W I U F n a q R i D p t G K Y z K U J x R I Z U d C 7 W Q x S M 0 Y I C 7 v R N 7 Q X s W g P z 3 m w d w c h n q c L R 4 e P 4 Y + f + w z K p G m Q 1 s / r d y N I + F N 3 B r C R y u A D H / g h 3 P / Q o 4 S P 3 b j 9 9 n v N r 3 v + l V d o o d 1 4 2 x v f j m O H j i B X T O L 8 1 S v w U 5 s X K 3 U E u n u M u R V 3 W S L j d L O O m t R d I N z N N i p m 1 c X F g 0 Q E a + t 5 H D / + A O b n V t h / E 9 i x Y z f 9 E v n g A d K D i s z r I p 2 y 2 D 0 p n y m E f K 5 M Q R e M D 9 E X H c L Q w C h 5 2 G s x m 4 q E C d G i h Q J O / k 6 Q S Y l G q M A 8 o Q i + 8 v w 8 l b c Y v w 3 Y O o M P E i b j a P K Y J v 2 d r L e E s U l k 4 Z T g k M 4 a B F H Q N T x + E 2 6 N 8 N n z p K / O u 6 g g N E B 1 s 6 T a X 5 M U C Z B g H 7 8 y C 0 0 A U / d Z v g r F a t / H g 8 8 K t T V Y p 0 5 y / N 5 v / E x r c 5 M + w U C v j W Q 1 a i U y S I D 4 e g H x S B e 1 E h 8 K R M n s Z M o r l 9 B P G O c n X h Y 8 q / J e N y t 4 2 / F H U a F U d 9 O y y T F 2 E c J 4 6 A h / 5 U s f N + 3 v k K b b t R M X L s 3 i T 7 9 6 i Y 6 3 h k 5 b O N L v x g + 8 / R 4 k N 5 I I 0 5 I p V C Z C W P D U 8 y 8 j T K 3 W R b g o x s z R 2 s l 5 T 5 J Z 5 E 9 t 0 B o Q m 9 G C t q P H 1 + n 7 7 J 6 c Q I r + X 3 9 X F A F H H L / 5 5 a 8 h t 0 l q C A d T w 2 u S 1 u O o I E r t + s A b 7 s P Z a 0 u Y p r U t E f x 8 8 C 5 a R R J F G k b l K e B U q U b Y E q Y l X t 3 M m h I a p 4 8 4 u 7 A O F 7 V 4 m L 6 G J g 4 d Z L T x w T 7 C u R K 6 o j G E y S Q l C l 2 e P s H q K i 0 / 2 + l j H V Z z a W p / O u p s Z 4 5 + 4 6 7 u Q T T J e P J z y C V o 1 a h I i N M V j B p l H o 5 a j I q n g R x h R q m c p R J r + 0 p h W g P 5 s Y G w k x o 8 i w g h d o j O f U B w L 7 1 l A w G V k s 6 z f q T H W P + O 9 l w O t f 4 3 X 3 g W 9 9 9 1 L 5 5 / 4 R k C o z I h X M N C o T a 3 W G Z P A u v L K x i M 9 N B y t y j E Y Y t W q F O h C Q q 6 x K z 8 l 6 M f 1 Z t o R 9 Z r 0 l 3 l K 6 p g I E 7 U s D w L X 4 D I h n 2 e L x S x a 3 S M i t h H t 4 D w k m j B 5 W n h y p W r 8 B J t l M X M Z H 7 F H T Y d Z U S i 7 G 8 K F D U x k U Q V s 0 n g z J V l J M g H K Q 3 3 s z 9 6 a C G T + Z J N j 2 h g w Y b p 2 T E N 9 q + b 0 D Z A m F p M p t H k P Z q b g u h b 1 e Q t 7 2 c f S D h k g d T P S j Z R T N g n I 2 V W h 6 W I n y R I d P w s A g Q a w K D w a a C M D M d r t F A a I K v S 9 R H K 4 K F 5 M c u P P 1 3 3 n D x 6 S k P m 8 a 7 2 v M 6 l 6 1 P s 0 B j W k x n s n B j j X Q 1 a m Q g y N K N u X 9 h m 1 Z s N h f W Q E M x s n U y + M H 2 F F u A 1 M k U B q z P n c G 3 q G h Z n L r B N L p v R l 4 P t 8 T i Q 0 Q B H o 4 R V + i X N u h O b 2 S I e u v s W O M g w d T K F N L o m k R d W 1 t B D P 6 X J j q 2 T E M V i 2 T S T B j I 8 h E V J W p N N h e R T K 3 Y F P f C T 2 d V p 4 W A Y w R A Z N l 3 C w 8 d u w 7 6 x H p y 5 N E W f 0 E M G 0 g i h C 3 l a t Q t T y 1 j l P X t G u 7 B Z B N 5 6 / 0 l E v d S w x N k J w R 1 q S T n d K Q q G N F C a j J O I R 7 G 2 s Y W J 0 R H r F I W 2 B G g V F 1 a W s X N w y K Y S X r 7 4 G h a W N 6 i J e + E i j R y E V D E K n 6 K s P W y f J j 5 X a A W 7 W M Z m L k O m j V u 4 z i q d c P k k 0 u a K o t B w b 5 B O u d e v k C s 6 z m 7 6 k 1 E v H K R h t M u P T I H M r G F p d 4 h w u G Y W M R H r s e g K w T j Q U r m Z T 1 e w C 0 X S 9 u z F M + h K R L G y u U Y r S C H h O Q l Y h B B X A b o N a l 1 F 7 7 c I R X 1 k q 3 B E f o K D w l N k 3 l u E p H 1 U Z p u G T I J U T B p R y 1 T z 8 A b 1 n c z u o D K J B S g k J X M N J H h u + q j i m S 7 y 0 s L S r E 1 L p H N F F O p 5 9 P U M 8 B m X 0 e / I w d t w 6 4 E T h L a 9 t L 4 R P P b G 7 8 H 5 c 1 O 4 4 9 B x P H j i K N 7 2 w E k 8 c v t x f O Q H 3 4 v 7 + P u z X 3 / G h K B V o I N K l 8 M Y W a i J P F 6 i / 0 X c S Q F q D y o 4 a N 1 k 6 e R v O d g H l D 7 W T K J J x t e S F P J S Q 7 6 Q S Z C S J I t 5 8 n D S K C g P I Q m h B 1 P M u l c I r E Y X g 1 D P R x m o 0 1 h o z t S e Z r 1 c D 9 9 7 y 6 k S T 9 b p 9 B b I u M K O m l t R 5 L N 8 p P m l V W o W r 4 0 U K U K 5 j 5 Z i i 4 I g K 6 k J R E V 1 W 5 x d t I v + 0 C Y Z J k l / q A Y P r Z y G b r u p w T Y p S J N 0 W M 9 e u I R j + / f g u Y v L V o E G V U P d T y Z C E Q n 6 L T F F i r P 5 m 1 s Z d N M S l a s V b N A X 6 O t L U O B j i L G 8 J J l H 0 d Z 5 E t R D R l i n d o 1 T m 7 q o t W o 0 y Y I s F D 3 8 + S f / C W 8 / u R 9 f e e E C N R r L o b / k o Q I Q U P z r 3 / 1 P 6 G 4 l 4 S p u Y H 4 l g 1 v 2 H 8 b X n z t v I V I O l w 8 t O t 1 O W o S Q z 4 H 9 e / b Z s H 0 P H X 0 H O y F N b R n v 6 k e R v t M C p X H / 5 E 5 C R D I 8 L d m 1 + V m D H 7 n 8 B v 0 r K h D 6 j X 7 C Y c E l 8 r 1 N N 3 T H I t T 8 Z Y u S q P K a J s L T x S 2 k K Q z d p G E 4 H G G 7 6 4 R Z N X Z U g J 1 L u E G / q k p t 7 K H / s 7 6 5 S W Z o 2 Z C + 0 x u k A P I Z C u q C r K F g H z s 7 R r h 2 e f o V G 5 2 s F O l P U E C n N e h D 5 Z O j P 1 c l n X Y e P I Q q f c I Y l V B / v A 9 5 9 q 2 X P l F / / 4 D F w y k C P s L + q N H S p r M p 8 6 M U h Z 2 h M E k r R 3 w h K n F C O 1 p Q H 2 F 9 m L 5 m l Q y c z e f I 0 x V a H s J + W t 8 W y A P R B G l C B R B w 2 / 1 R M n m Z 6 E a j b 4 r 8 O H 3 u Z f r g B Z v 0 v n D 2 J W w Q w T z 9 3 G l T m i 8 8 + z x S r Q o + 9 4 U v 4 r n n X q b C W j Z r o 4 g H T R g L I T X Z D o U R N d l P Q o j y y S 2 S g n X W I I S D F l M y o + k C x Q L a c g z W z O a t K E P y q U y k S G u T K Y 1 + S I i o Y N 0 + C h b v c 1 P 4 G 6 S l h w K l N Y J C X Z p Q l x z Y G i n m q 1 F x x + + c + o n W Z i a L k L t F w Q m Q o P 2 o U k h k A h W D F i a M 8 b P y m + x I j Z C N U z C 2 q A U W Z 2 c x O j J K 5 t 8 w Y d P s + p N P f s M m X / u p j V J k + G g s R k Y q Y X x i N 1 5 4 9 R n D / 1 0 x L 7 5 x O Y l n z i 6 b d G v 0 5 T d + + A E K S M 4 C R b V M o 0 5 s H K B 9 H h k d x o s v v o w u n l P Z c U K h C q H V 7 t 0 7 8 f J L L 9 m 8 k 7 S c 1 v T 0 R E g M D y 1 U d B S H j t 1 J C D u I Y n o V z s g g 4 W Q E t 7 / p 7 c g R t o R o j d 9 6 5 w H c d e w I z k 8 v 4 a 8 / / x R x f Q z J 1 T V M T O w g v A 3 i 7 O U p 1 I j x F U w Z Y K c V S Y + W m 5 1 n k E E T f j n 6 X n T K y e A 7 R y J 4 0 + F B 7 N + 3 G 5 / 5 p y 8 g T k j c I l P F 4 h K c K v p o h R Y 3 q Z Q o a C U q r D h h b J o M P h r v R o u C 0 C j n s Z J c R F / 3 E A W z S S R R R 4 U d n M 6 V y L R h t s 9 P q 6 3 h b B + F u E K B 9 W C D 0 M 5 N O O J m n / X 1 0 H p s p s j j i l A o Y T Q x A C + V W S Z H h R E I E R Z V M E I L 4 y b T f / X Z b + I 9 b 3 4 r v v L N J x C K x Z F J b + K u E 3 f g + s I S N t l + D Y 4 I V m q E V O V s U V l 5 y I R C B 3 V C t O 5 4 F 1 K b G / R J W 7 R U h H J a + k F B d N O u 9 c X D F B A p u g I t o I J m H R j o p X 8 U d R G x z N p c m a I i B K 9 q v C d A a B 0 O d 5 m / p o h 9 5 R f 2 h 5 F p d e M r L 0 7 B 3 6 D 1 8 J b x 4 b c e x K e e e A X r G x J Q 8 j n r J p / c R w v c o m B o U E L h T 7 V s l u W z V F 7 T A I n Q k w a g n E E v 6 o q K I X 3 I 1 C Y n E i T e x C 8 8 x f s 1 k q c B K C 0 D U m p Q + 7 k o O A 7 S 3 k W l 0 a S P r p h N l C g X h I S S D W V n i c / J k I l G s o y u B + 8 5 e s r D v D W S 1 9 d H 5 5 e + z 1 Y q S c c z i R 7 + 9 r C h m q z N Z N P Y Q b w t W T 5 7 / g p G x k c t E F a O 9 N j Y O I W A J j 6 T o q U h V C P R A t R 8 C t n v 7 + 0 x X 0 I D C A r q z N I S 9 t O i n J 5 e M 3 M q W B c g 0 9 2 6 o x c 9 h F W b m 0 m s E P J p T P 4 S f T b B r g l i c W l V Q b E Q I c S 1 6 T m z S s F o U A M 5 F h c 2 u z S H n q h W r a Z Q T i 1 g Z e Y s r k / P 4 l / 8 2 n / G f / 3 z / 0 W L Q G a k O v r z X / o x T A w F U C 1 t 4 d k X X s T k n j 1 4 + R q h U M N h w b M r 8 6 s Y H e h B e n O d m J m w g o c m L 4 l H 2 U n s C B K b Q I L w x 2 s j g J u 5 J q 4 u r C D q o Z C M 7 u I 1 W i F a m p M P v Z X w p w v J 7 C b W C O v 8 t G 5 O d l I i H k O R 1 m d h q Y B Q y G V M q U n f G H 2 M C u G u Q m s k R H E y W 4 j w t U S B a / G u K A V F z O i m q t V I W D 8 V V x 8 t k b s R x P c 8 + k F 8 4 P 0 / i o m B S b z 5 T e / A c 0 + f R i 8 F N r l W w K / 8 4 q 8 i 0 T O K w l Y F f / C 7 / x N / + O e / Y y F O i s K I B G O I U t m k y S g 1 o g o h D v m M 8 n s S X U P w O 0 M I B b o w N j y J W r m O 8 R 0 T S F P w 5 H v k W 6 w 3 a c F W 4 a 0 P f i 8 m x v c Q j f R S W p y 4 9 c h x 7 N l 7 A E l a 6 H R 6 o 4 1 U e u L w h 4 I G o f 2 E p Q n W r 6 E A A r Z d g 1 0 e M v + X z i c x N 5 N m e + l v O Y p 4 4 J 5 J n L / 8 P B Y u 5 V i n o P m x g R C F R Y K U U + R E n e V T m F J b t C r t N V E S Z L J 3 + 5 + 4 n s K l F R A 2 E a x Y V A m D z J V B O y l I E w v e 3 f 4 r / i c U 4 X d N 2 V B J y 1 2 o 0 B p J O N V y 0 s k e 5 K / 2 J 8 9 J o o S M J L B v e + O d p 3 z y Q a i F L 1 y 9 h h d e u 4 g E t Y d g l S z M 4 q K G L d 2 0 R m M s r I X F p Q W b W 1 H 4 k J f W R f 6 M o I H g n m C Z c H a m U M b g 6 L g 5 9 3 M z U y b x a 9 S i Y 0 M D N u j A W m J 2 c d 2 c Y o 3 U X F 9 M 4 f G X L + F 9 D 9 + O t X Q R S w v z F G Q P C R 2 0 U J A q T f Y a o c r E j p 3 U m N R y r I d G D x e X V 1 n H O P 0 T B + q E Y o m u B I V 3 m Z A n a t o p R Z 9 h v C e E B 2 / b j V / 6 k R / C g K e K l V w K R 2 + 9 A 9 M z V y 2 y w d / M 4 O i B 3 R S m F d w 7 O Y H f / + 9 / g O e e e h K / 9 3 / + B u 6 8 / T Z M X b 2 M j / 3 F H + F v / / 4 f q L H C 7 B 9 q S r a r R X p q E r U l z E A a z x G a t l o l e L 1 h V G j F r k z P I L 2 + T v 8 J y B F C K d J D A w c a L i r T 9 9 M Q v X x X q j 6 E i N d V 9 3 y 1 j I o F t j Y J f w O Y m r l G J g x h m Q r J z e d c F M T 1 D H 2 Q R J z 9 J S i W s X 6 6 c P k V / N 2 n / g r X 6 C u 9 + M r X q A D p d 1 a y L C O E f 3 z i k 3 j 2 / D N Y T s 7 h r / / q j 6 m A F G f n Q j 8 h 9 u G 9 h / D q x X P Q o s O B / j 7 C o R Z S 9 B O V N B K 6 T m H Y S K 9 j Y 3 2 V U N p p 5 3 a O 9 9 N P i 9 h 6 I t U p R w W Z L 5 J x q R w 3 V j a o B C I Y H h r B F J X e 9 N w V s n z F / B U p Y q 2 x U v i U A p A V g 9 n X p 3 C v n A U H P H d 6 n b C Q x P K S c U n H I N H E / l 1 R o i M f F q 5 R g F j H O o W o Q T i s U T o x v o K M m 7 Q + L U J i C Y 8 G y g Q H h c M 0 W m z f N X B R E y S T j h Y E l H W i G L D u N h A h I S A 9 b o Q k 8 b w J i 5 7 X Q W U q S K i o C Q X Y U h X Z 8 / o Q j 1 n a F k r L a + d o 7 J S P G l F 4 d G k t j f v u u Z N t Y s H E 4 3 N T 0 4 Q O O f p T s l w V + i / r N g p y c N 8 + 5 O l w X r t 2 h Z 2 W o P U g R 7 F g x c f J k b X F a + k s M X A G J w 4 f R I b C W q E 2 O n x g H 8 1 7 B a t r y w g O 7 8 a l 2 X U S j 3 i U 1 a w R t y q M a H e M E I 4 E j 4 Q D u D 6 z x M Z U L M r 6 l l u O o F J O G Y G X F r W 2 K G E T j m p 4 m B p v b n U J A 3 1 D t g T c R u c 8 I X Z c C h 5 a S k V j y E q 6 / N R W T T J G Z o v 1 a G F 9 a d G s q I P Y P e 6 i z z D U i 9 / 4 r d / H W q q E T 3 7 h c U K k l + m N u f A n f / s J m g Y F s d J K a s a e F s J m 3 2 m K X d S A G p Y t N n 3 Y S G 7 g 1 v E g 4 R t 9 l V w d 1 y 9 c Q C 9 9 U S n K Q i V n 4 V Q D i R 4 k N z L o Y q d 7 C c n c H l o c K o i U J g 2 p Z T c z O S y S M S O h h E G n w 7 s P o q 8 3 j h 2 D o 2 b J G p U i d t G v U 0 S 9 9 o U Q / C G R 2 D Z a N l r 1 u k M L + M j A V I I a A J F Q a f T Q f B b S 5 e R d D 5 L Z F 7 B j e A L L s 1 O E W F V j T k 1 6 u u i k Z 8 n I V O i k d R 0 p W q 4 I f b w 6 L a f 8 C k 2 f L F F x 1 L T E g j 6 P f K Q R u g h U E Z h b n k a h n q V c F X D p 0 m k y I m E d I V x V o 2 y 0 I y 3 6 i 2 M j O 2 j t f d i z Y 9 z C 0 F C T n z a M T z 0 5 R a V D B i e T i q 9 f e f y z e O 8 7 3 o Y u X z d + 9 E M / a c J 8 + 7 G j + M l / 8 R F 8 6 h 8 + x z 6 o w 0 n a N 6 m o 6 d 2 I B d p M z b 4 w I T H x F V k o S O J 5 C o r 6 w G L z K H S e g K C n F F d b E v j V z k v Z C T Y q y T c z I e Q 5 W T u i O e t v p 5 w 0 3 m N h U H Y n U / s R f v D f / / 2 7 P 9 / K U W j q L H F j q 0 A c n s F o P + H X Q D + + / u Q z d M r H k V P Q I 6 V b V i M x M I o c t Y u C X B U A W a Y A b f H 6 2 I 4 d N j m r 2 p 0 7 d x 6 T h I G 9 d H C / 8 s R T h A 0 O 3 H X n S V q Z D S O Y I M C h Q 7 v x y a e n 8 N U X r 1 i H N m j t v P R Z / u j n 3 4 P X L l 5 E L O z H 8 M h O Y v I U 8 9 m N R x 5 9 B G e Z 7 y f / 4 T N 4 6 1 v f g p e e + T p 8 k S 5 s p F K 4 + 4 4 T O H 7 8 N h T z N X b m J U S 6 / L j 4 8 h M 2 2 d k 3 u h O L c 7 P o Z n 6 b 6 R Q 7 u G 7 + D X w J a u N 1 x A I e p C n A O W r 8 L O l w + 4 n 7 E e w e Z n v 9 + K f H v 0 x z X 8 H X X j x P Q 0 J / j 7 4 J 6 C A 3 y c S G 1 U V I K R L S R s I g K K F l K z 7 i / 8 c e 2 G H z W 0 n 6 n t 1 j g z h z / i p h W g + d d z d S t p A v Z v 5 S t p R E N J z A m x 7 5 P q z O b + L h N z y I M u G l J t r / 8 L / / n 0 Q A m z b c 3 K o 7 s H u X o j U 2 b L u A u Y 1 V H N 1 / E I v 8 D N A i 5 m j d s o R Y 2 V K N V o 2 w i t C o U d X k e w C + W h J V 9 n 4 p t 4 V o p B d Z C u 1 d t 9 x G H 8 W B L 7 3 w D e z o H w Y B F e L 0 V S 8 S O n e R 6 b W l w L W 5 O f p j T l r P X r o A q + j p 6 b V V v o r q q J K Z F X U f j 0 b Z 7 i a 8 D k 1 L e G w U W F H e g u Y 7 x n b L c G F 6 e h r O u g v 7 D h + h o D n M N 5 u a I Z 3 C P v z j k 9 + k A i Q t m T R N o D H o G G G v p j o O 7 I / g 3 O k N + p l U G G S c G n m L c s 7 y 2 l M c T c J O x e q J 4 S 2 x D y Q H G k 4 3 H h f T i / 9 5 2 c R n + 7 d d k q A w T / N 9 + F 3 J B j B 0 D 8 8 p 8 k J C p i F 6 J 3 l T k 7 g 2 5 0 S / u N G S l W Q d t 4 u 9 k S d / u x 6 + / 7 Z T a 9 R k i g V L p Q u m k X y E J + r Q B J k w S g s U 4 j U N C s h x W 0 1 m k C J B F F u n + R B V S o 5 s g N i 7 T g Z Z J 8 z p 7 u n B r s k d W F l a w s 6 d o x g Z G 0 O X 3 4 2 Z x W U b X k 6 l t B a H T n C w i S D h 4 i y 1 n o e E E s O + 6 e g A 0 o U q / a Y h Q k R q Z Y 2 I e Y N 4 4 f l n 6 I + N s o w y 8 9 0 i t A B G J v Y g n y 0 S 2 + / E E 1 / + I o K x B A U 8 S a Y j Y y W X 6 N 9 V k C 7 W j B A 1 w s Z i O c f n Q m y X D 1 l a L U F V B f V q A d 7 o x B g F u s p 6 N v F r f / B R f O H J V 6 j J l z C 7 Q q v M N m r Z t q N R J r z w k f L s U B 5 S f 0 3 b E k e 6 j p z j a e D B W 3 f j 0 b v 6 T b P N J A l J 6 U / N T Z U Q o u U V y / g o U N H I A J Y 0 O k Z r 3 0 3 Y O T u / R q W V R K 2 4 h F d O v 4 B X z z 2 P v / / M X 9 O S b s D h C W J i c B D d i X 7 M E Q o r c v 7 6 6 i o t M K F w o 2 r 0 0 e j V R q a M b r b t 0 t o q V q k Y D + 7 b j d N z O V z c C u P e / T F s 5 N Z t B y f q X l r N Q f q U 9 A M J T 4 u s h 9 Z R S Z P r / F Y 2 h b 3 0 h w r s b 0 V / 1 8 k 8 6 4 R V X b T k i o x I r y X x 4 N 1 v x W 4 i j F s O 3 4 X Z K 8 t 4 8 8 P v w K t n z 5 D h y + Y r F u s V I p W k r e l a I g T P 5 t N o u r Z w Z X k T / / D F p / D C u T l c n F / H l Z k 5 k q Q 9 7 y P t X 6 e g O 9 g e z U O V 5 M c Q N W 0 m U + a / N V h 2 r U 4 h I H K S J j O h o q S Y P 9 R J V H L y D e 0 M B c M S P 9 r f 2 n / V a 7 a T k g R C 1 3 i f h E f 5 d Q R V y Q R L n 9 v C p g l 4 T e F Y s C h P a S C w y T x 0 X 8 e q 6 a / r z j s O n M q b R i R G Z 8 Y a O u + m 9 h R c U 3 y e V s X u 3 r 3 P Z v e 7 e / u R p n X S f g U t C l O B U K 6 n p 7 1 W S H F k l V I J g 4 Q A M T q f G k x Y 2 c z Q O e 6 i N F c Q j f c R M q b p E 4 U J + T b Q S w t I i 4 9 4 L I J X r y 2 i R l W m 8 I 6 H b h m n t i c U o H B p 1 a t 2 K n r i y a 8 S K o X w q c 9 + A o c P 7 c H M 9 O n 2 m q b 1 J Y Q J d a 5 d f M l i 2 F 5 6 / i l C l y w 1 Z 4 N 1 K x B 6 K s D f Z U 5 v t V x A i T B D U K N C D R a P h e G K 7 M D b 3 / E h 3 P v A Y z h x 4 h 4 y 7 C J O v u l 9 + N O / / C S J 2 X Y 2 b Z i U w q h B E h u K F V F J Q O t H O / i b T C c t K S a d W s 3 a B K 6 r n k a I k C f g 9 G O K 8 D d M 5 a R l + 1 q 7 4 6 Z f E S H 8 7 E 5 E q D w y 9 O s o t L T a Z f q U J c K / A u k 5 1 D N A w Q t j Q M P 1 Z L Z 8 d s u m M 7 K a 9 3 H X j W k j t r Q / j x f O b 2 E + H 6 Y A F 8 n U f U i v N j C 7 0 c B W n j o / t 4 l D o / 3 I F r b M 9 9 R o 4 J F d B y 3 u 0 k t F e X 1 2 G k n C v U M 7 9 t t o Y b X a p P D 4 c X b 2 m k F H R Z 9 r 8 r l G u N l F p R m I h X D 9 + l U b x r + + d A 3 9 t D h X Z 8 7 R C o 8 T I l + j 0 s x S g Q W x f + c Q n x / G 1 F I G p 6 9 t 4 s p S C w v L U s r y Y 2 g V F C p E p r S B A z K y w o J a Y g h i K / k p T v J X h T C w S U a W d W k S 1 m r j I N 3 b F g v l I c F i J x h a E G S U M J k Y 8 G B f 8 a t 9 4 y e f b D O / n t Q F 9 q H 9 5 q F R P x M m 1 k X X l Z d + S y l a D r q m P t e z t J w u K m B t f K P A Y U W G m G D q O S b X 7 S c O n Z K G 7 u n t w w q Z U j P P i U Q U 1 6 5 c x x C Z X k s O t C B O k 5 s Z a v U u D U Y 4 i G F Z e J K M o o k 8 T Q j L b A r K i Z H T m S w W 1 1 O E U X k y l w J X + w k Z N n H k 6 D G L D d R Q 6 e h A N y 2 h k 8 5 1 F q 9 c T t l s t 0 x 2 O B T A L Q c m 8 E 9 f + h K 1 n Z 9 + w B o S 3 d 0 4 d G A v i a D V w h U M D Q 1 g Z X U d g 3 1 9 F q i q e z S s f f z g L v p x 7 f U x k X C X M a a b g q n R P S 8 J o n 3 j Z F h i t B q K 4 f P R 6 l y / / B I t y F l 8 8 R 8 / j W j f M H 7 6 1 / 4 z G i W a e n U r C d Y i 1 D M N J K 3 G 1 N Z I b f h g v 5 m f z W O w 7 T Z c T A d 5 Y T 1 P n O 5 H n P X + / D e v 0 A K 3 0 D d I f y K 7 j o F 4 N 4 U r S m Y R r W T x 3 J j s H r E A X v l / G m y I B o K 0 W v O E U x E q I x f R Q c 6 C d 7 3 s p 6 G R Y f M B E 7 T G i o d b S p Y x N V t B n X 1 T 5 r M K V P U Q o j T 4 3 V G i Z m 8 W M T O 1 j v E + D 3 7 6 w / 8 O P / z B n 8 L u i X 0 4 e v Q u 9 C c G 8 e A 9 D + B H 3 v s T e O 3 V 8 / j J j / w c v v 9 7 P o h P f O 6 j t i 2 X 6 C c 2 U i i Y p j e I 6 U 3 I a 6 4 q U o S P p 7 7 3 f X g h t Y q 5 z R y + / I 0 Z 1 B A h 3 T x I F p s Y H I j g 0 1 + 9 j N V M h f z Y t u J K L Q s r E O 2 Y M z t D A w l a A a 7 v 8 o v a d K V 6 o s A q 7 o 6 S a 9 H e F l H S e X K b 9 i I + 7 U v 7 p H 7 q O Q k L / 1 s / b e c l g T D / i L 9 v t k I 8 a 3 x r U I + f p i z t f P t Z 3 a v V 1 P x h c 3 A S I I o + a U G l K K T S U b L k X Q s y J g R 2 3 X 5 4 x 6 m u 3 g R W t A 7 J F 0 Q P 4 V A 4 F k e Q z L y w t M A O H L F 1 L F e v X s X A 4 A B y 7 E y t D C 1 T c 6 j Q B v F 7 m U 5 r t V k 3 L Z b W 6 t i J H b Q + x P x 7 9 i B O g c q n K H i 0 W p q X y R G D K 9 J Y C x c X 5 5 c p h H W 8 N p 8 y 4 i n O 7 s r c B i Z 3 T O D k k X 1 4 9 v k X a N H i F O w e w / Q B r 9 M W B c q a y p p p l l 8 T y p k U o Z z g K R k x x P t y x Y p F f S s y W F q n z n L T 1 N S + c A x j w 4 O k W A N d t L Z t R 7 N p 8 1 9 P E 4 Y 8 / d I l W s 9 N M i E 7 T 5 3 J 9 m m W X H p L f X D D K l m n f a t j 9 N 1 G h O x + l 0 2 C r q a q u D i T Q o X O u H K 4 6 8 g k e q J e K q A g 7 + d / 0 k v C 6 C X 9 N C V Q c x O M s a M 0 n 7 e 2 q c W Q i k h R g G 0 c 5 6 9 d w Z H 9 h + G g s n n + 3 E v Y z C R t N b X 8 p V L N j 5 n Z J N v R H s n S O j W N S N k k J Z O H z F w h f J o Y H s f l 6 W f x V 5 / 8 M y w t T y O 7 u o Q v P f d l / M 1 f / w W V 5 x n k G 1 m 8 / N p z + P x X P k k u 8 9 I H H s M m o W P c H 8 C P / 8 D P 4 Z 2 P v Q O L C 2 t m n U C B k o V 5 4 s J 5 Q s k 6 X j m T t s E q J a M I 6 + 1 1 V 7 G R V D C y h I l 0 Y Z / x L / + R m r J K E h D W W Q M b m n 6 p E 2 L y U j u J k a 0 9 7 A P + V 1 S O d j d y 1 I Q D 2 p 0 g Q T Q C 8 r t C i 9 T 2 z v l 2 t + i E D j K 8 n j G o q D 5 r C 1 Z b S d q N / M 6 C 2 Z 5 O x I T 6 S 8 L V h n u q N 5 u k I p i d p k X Q p B 9 F 4 d e u S x o Z 1 b M t x Q 7 y n O v n f v b D p y p 0 y q n + S N B z v L 2 J v T t 3 Y W B 0 m A w c o P 8 z g c v n z 2 B 0 e A j 5 T N p C 8 e W Y B k N R 2 6 u g S n M 5 O D i E V U I w Q S u Z z 0 S i B + u b W + i O + M x h 7 0 r Q W v A Z b U S S S m 9 h c 2 O N m k 7 z M S J c A y 9 N y f H 2 W q S D i x r + 6 U v L O H f x G u 6 5 d Z 8 N Z y s P D Y j 0 E E 4 K I v Q y P 5 o 0 w t m m 7 Y + g G E J p 7 1 D f k I X W a G R S D r / 2 R p C Q V g o p 6 2 T N X 8 i H 0 q p U j y c E n y + E F i 1 q r K s H f / u V 8 8 h s 5 X m N R C d D 3 d g u a j u Z 8 L T p r R 9 t Y k u Q R N D t Z F q K 5 x V 4 + a 3 U Z q J b D v S j o S U p w Q i W N u k v U Z d v Z j Q h K 0 F i X o R O I Q q b F v q F 6 M c W y W h z m 2 u I e f w Y H B q 2 9 i 9 s a X u y C u H U H j z 9 8 g z O X F j B 5 Y v r h H L s U N J D d b H 5 F m N U 7 S l X Y 3 / o a G F + N Y f p h S S V 3 D C V 4 i b 7 1 o d J W r m z + W U c G d 6 F z V K K k P c a o h R a B a h q 6 c 3 y w g L e 8 u B j F v u n 6 A 5 q H q y k l 1 n h p o V m h c I T + O b L i 2 R T j w l A V K O o 9 O t O H B p A w N M k T H d j Z W t b S o x W C t m h o D Q U v C q 0 o L p V 0 a q 0 I R c J R A b l d d W f a k E R G O J f C z 4 V L N N 2 X v z X G U S Q t X B S c X Q G E 2 5 O 3 7 J E E j I e r f Z e g W J + S 8 x S P a d r r S b 7 j Y p H 9 W t b L A q v y j B B b T + v j X s U N i f 4 K G g p b a x l H 1 Y O r a h k W / N d r j e c P H B K y x M W l + k 8 Z g o Y p y D V q y W L q l 5 c W T W L o q h y Q T W t 1 Z 8 c n 4 D W R g X 9 I f p F c a T o N C a 6 A h S G F v z a M Y i S m k z n b a F h d z y C X j L 5 2 S v X M D a + w y Y B n a x M M B q y N V P r i s p m B y 6 s E R 5 W q c n Z L s 1 I K y w n X 3 P g H Y + d x H B P m I y e s k B F B W M q 4 s A h q 0 j f Q x q s S k J E F L a k c K B y D v W C F s C 5 o e 2 f i 7 R g R W 3 s Q u Y 0 I v E I x 7 q p 9 f s s 8 H Z t N U V f h v C I w v z U 6 S s o F A j Z n O 3 Z c i 8 V j M K w R H R p f B H M O m D 7 O y l p J 9 p d 1 j 4 k H d J s g k d t 7 d Z O 2 g R k a G g E u d Q S f c o 4 r / t s 8 n a d 9 V M H a h G H 4 K i 2 E 1 C I z p 6 d e z G 7 t G z L y z 0 s R x Z 7 a n q K U I u w s E Y 0 U A 7 i t U t F 3 q v Q n n a i b u R f M U D 7 u 7 Q y 2 Y w H 2 Y 7 t F q z y U 2 h / 9 a d + h t a D A p u n c P c M 4 c j O W 7 B 3 / 6 3 o 7 x t H j T 6 X N + y 0 P T C 0 T G V o e A B P P / c E V t N L m J u / h t X 1 W Y 0 h m M X v S X T j 1 T O L y F S l w R U r U c O 7 3 / p 2 f M + D u 6 E V C Y f 3 H K A i 3 Y E z F 6 d N u D 1 k P l t f x B o 1 y C N a v O e g Y p P l 0 r Z j R k / W n + L C r 6 S x S 2 F U T Q T C E V P y Z S l b K o Z t I 2 J J C E O C Q H b h M x I U C a 0 + O 4 L 0 r T 6 Q I C k k T b 7 T 9 m U r T Y p W p l H B r z e E U F X R J + + V n 9 b Q V 3 4 3 3 6 m i 5 f F s h Y b P q Q i 1 b V x L P C n F R T q 7 j h 3 Z c U o r U K v E y U d P n O A n f Q s y m G B I 0 O O 0 6 A X b P T R F w a G v V C Y x I 1 1 d x j B z 0 z P Y u X s 3 L c 4 q g j T L 2 s h j c G A I 6 d Q m M 2 8 h H P R j f m 7 R l n q c P X M W X T 0 J z K 9 R c L P t w N A Y r d x Q T w z v f 9 + 7 8 e U n n i V u 1 z a 8 G k 2 R p n D g / M W r u G V y 0 K I p N F m o 7 c E W q D U V j O h j 3 W p 0 o D X R K 0 J o 2 U M h v U 7 h z 9 h E s C K / i 2 y D A h i p 4 i y y Y X J y p 1 l K O Z K K D s k S i v 7 N 4 8 / i 4 8 / M I k + h l V V S v 4 q o 2 l 1 J d F V q w 7 n t H 0 x G 9 O 1 k m p W p c 0 7 C Z p O E g n 7 b Q i W t V m e 9 2 F R E A o p X Z E e R w U v 0 U c R Y g W A Q 2 r 5 M i i s e 6 0 K u U o B X S / L D Y Q p o A 8 l 8 F j G n D 7 Q R i E Q n 8 P j X L 6 F a o M + p q G c r t s 0 U p n 1 N A 9 / 0 W z e o b v r P R n z 5 i W 9 S U V 6 y S d Y n n / k a x n a M 4 i 8 / / h d 4 7 d o r r G 8 V I 4 O D 7 Q 1 s 2 C 5 N M S j G T 6 O 8 W 1 s Z i 6 3 c K h c R T g S x t L i J 3 u 5 R + s a a K m m g S l j 5 2 u U p N P 1 5 X J h + H p f n V v C l Z 6 + R A b U x D K + X N d 8 l l E C h o t L U K J s s p 6 1 N e l 1 S k 1 p E C R P j C U Q S F H D y X L 1 I K 0 C e s N F V 9 Y f R n Q J C O m m A T P U V v d t C I Q G Q t H 1 7 s j 5 S 5 k z i L 1 v j x H r Y A 0 y d P j T f j s r H a C b l x E + V J v 4 z p C M L x f z l D t g C R N 6 l L R z E J 6 5 7 7 j h w a n p 2 G T s G e 7 D v 8 C 1 I r a 4 Y Q / Y S y 7 t I S I X 8 K Q 3 w t 4 Q E x M p i v G q J U C k R o y W a M a d x o K e X J o 8 + g i d g s 9 r 7 9 u 4 j i q l j e G w S F 8 6 f w + 4 d k 7 Z c Y m J s E L F A i P j T Y 8 s K z l 6 4 R t h y G W 8 6 u R + v U Y A a j o B B F Q 1 1 l 4 i Z D + z d h W J m D a u b K T J Z k z A g b N Z H I 4 q a l b d t e h t l p N Y o 1 N T o T Z e f Q t a F Q C j B W r t s N b E 2 O 9 R O S S 2 a Z i 2 f F + x Y J z N f u r 6 B F 6 a T t M j s X F o I x W K J c v K D t H 6 m I 0 R t M y / i 6 h 8 / S b j t S 9 a R N m e x / V 1 J R C a v s E z t 6 E T 6 8 e Z 8 K Y / J E Q 9 6 o / 2 o e 0 g / F + 8 h o 4 h B 6 h T y G q 2 C I k 0 q t B z Z U p b K q Z 1 v m I K 2 r C 3 e N J L o 6 c f n v 3 y G i k Q d y n z l 7 F N T y m K 3 f S b V 4 / W H 1 d g O M U + T 1 n F 8 s g u 7 J w Y Q i f i x o W i I 7 B r C R A 0 R l q n 1 R D U e 2 a J 8 u A a V l 9 c G Z m 4 / c g K 3 7 D 6 A y c Q g U t k 8 t g o b V D p Z 8 k U f 1 j d K l r 8 0 / v x C m g r V h 8 2 U A 7 V C 0 Z S L k I 0 o Z k J A Z t T 0 i / m b R l M e 2 4 x s Q i B I K I R B f / j h u 3 q x u n Q B + / Y M 0 H 9 j f X S d v n t n M M A E j I / K x h v l x Z 9 i b 3 6 0 z 2 w X Y K l d v q I i 1 E + y P P p U X T p J t r Y 9 Y b t t q X j G C t B X j T 6 y L X I b 2 p a r L W g u 1 k X K 1 0 P e 1 C i q K x L 3 n + o Z G I H e 3 j A / O 0 1 I U U d E K 0 2 J r + c X V g g 9 V p D N F b c 3 t x + y E B U F O m r r K B F n p H + Q m q o H K 0 v z d K R p f l 3 a J 7 y I 6 Z k l e H x h a s N N H D i 0 D 9 m t J J m q h m k t d y C k 8 X h b t r e B 0 u A g 8 6 Q m / O E P / S A + 9 / V X j C 4 K x t Q + a W c u z x B G n E Q u u 4 6 J k S H M L i 7 B x 3 Z q X Z G G N e u V N L r 8 t K L s h L W N J O G M h 9 o + h v X 1 N d v 7 Q V s e S 3 M J M h Q o h H l q 3 e 6 B B P 6 P 3 / 4 M N e k s N X 0 B N M d t 4 o m U 1 l H s D n U c C a d k G s q O t q V S x 7 S Z o 9 0 Z N u F H o n Y Y o / 1 J g a E v Y L 4 6 8 1 H H 7 R 4 N E a p W M T E 8 S r T g Y F s W k K E y q N E p l h Y + s m + / b a b v 1 4 i a p 0 4 a 1 L F C 3 7 T p K W B 5 U 1 M I 8 x b m J C V i S Z J O l d d x q r / 7 o b r S 6 p O w L c K U r g g t f h + V G i 1 S u O V B S X 5 p d x h L m Q w Z w 4 E E l W M P Y b S W b A Q D E V r W B G G 4 l 5 D H Z X s N J r S N M u u m / f y 0 x 8 d y s o y 6 g / 1 B n 6 h D p y r 7 0 x h v W w F r 0 5 O G f A 3 W w Q Y G p A 9 M A F i 9 D t 2 M p Z m H 4 u / o q 3 d H a + Z r + v 1 u z M / k 2 F w K k q A F F a d D h y w F 8 7 B B C S X S W B H 9 1 j f q K / t s X 7 r p y 0 2 p 3 Y + d e S j + b C f R 1 b 4 z X z 5 m y o A 8 o V 2 c b P c j l m d + G w 2 J I R L 2 v Z O / 9 Y h r 3 7 F D p / b t 2 W 0 T l / n U O j V D m B a i h I 2 l W d v o s n + o F 7 W y h s u 1 Y C 0 H v Z V C M X o a C Q v 6 6 P 8 s L 1 q h 2 k x w d M c J H D 5 2 O 6 Z m F v H u 9 7 w f d 9 3 / C J W J H 7 f f f j / m p 0 9 T 2 7 V s D + 8 G i b 2 8 v I E 9 u / b T l w l h a W k R 8 U Q c 1 8 + 9 j J d n 8 2 R Q N l C d T 4 Z 8 8 8 P 3 4 6 8 / 9 z g e O X 4 L R k Y H U S j X z T f S t s k K h 3 H Q H 7 B V l K y / B H 9 0 s N 8 2 E + m m k G s D k R g d / G w u j 0 K x g s d f u Y 7 P P X E V X 3 / u C s q s s 7 f m s 9 E b k o r P t 3 V a B 6 Y Z E V / X B / K l 7 C o 7 S 0 z Q Y Q R 1 h r 7 f 3 D k 2 V E z r p H 4 S I 4 r y h y f 7 y c R 1 L K 9 t 2 L I X R V x r + 7 V 9 Q + N k C j 7 L P H w u H / 3 J I h k W 6 O 0 d R I Q + 3 / q 6 H 6 f P 0 o c q K R y 0 X V 4 7 s d 3 m S K h W K k / 1 6 f z + 5 4 f y 1 1 Z a d 9 4 2 Z n 7 H 9 M w U b j 1 8 D 7 5 5 J Y n 9 f Q k U N P d D g R 5 O 9 O P K 6 i y C 7 I e C t j J w y Z + k J H u d u D x 7 F S 2 v i + h i A C u p L e b X w r G J X s z O Z y 2 q Q H T T y K 0 m P l W I h 8 8 q C b Y L Y s l a i c b t i G 9 j n R t 8 L C n T g I i C i G W l P I 5 N 9 I + Q / y o 5 r M x T o J r a J Y l t k N D I W l T L Z n E a V L 7 K k z 3 Q Z m 5 + V 4 u V N 9 X J d v p W n + n Q P T Z M z u 8 G 0 U l T C a b 1 o 3 W r / v D Y v r / F f t U n H 7 J 7 p X T 1 m h + V a s J F + j h Z L 9 e P / 8 B b T s V Y u u a B N K s f J N H k j 2 i c P Z m j g + 8 L E e t X 2 L l 9 N o r n Z s d r B l y B k Z p L U X C m t v N V x 1 e K m 5 i + e o b l l Q j j X s H S / C W s L 0 / j h e e + T o L C R r H c 4 T h h o X y B E K 5 c n 8 L O X c c x s e M A 8 + 9 H p e b E y m o W X f E A L U 8 Z Z T q l 0 7 O L J H A Y 7 3 / 0 O C 6 d u 4 x b b j 0 C D + G A i 7 q r U n c T t o Q x R 0 2 / Q U j o 8 3 k I V 9 r 4 N h g K o k z B l d / 3 f 3 3 0 c 3 j q U h 4 b 1 K S C s I I 0 c o b r 2 5 r I J g 2 N o C Q Y s b P 2 U m g 7 q W 3 i m T p l U s f r M M L q + w 3 G F r t K A c h a S I h 0 n t / p 4 9 g + 2 z y v 5 R B 6 h 1 S + t I 5 + W l C f T 3 N F J c T I P F e m F x D p i R D a 5 q g s N O d D s 8 a 6 X V r b w t e + e g 1 z M x l m R 6 K p W O W 9 b T n b O L 9 d K 3 Y r j 8 6 n G I W H W q s 2 6 D c Z W Y G e 2 s P v 0 N 4 R 0 p f + k a M L H / v C K 9 j K t H D b k R G s b M x j v P e g r R R w O s M Y 6 N L k O 5 m G z R 8 i i n H Q m l G a E A 1 2 Q V t V K 8 S n Q H j v 9 Q Z w k E K 1 m c w S n V A 5 1 Y l g + J D U j 7 k J r G a A m l 0 j r 2 6 6 E b 4 Q / e 2 s 9 h K R Q u B F t k k t U v 2 d Y h S i i r v u G E B f 1 I u V 5 W U k k 1 5 k N x s U R l 7 3 U L j Z b k F y F 2 k q o Z I x E B V s E M K O b / W N K U j l z w / R S d a T N 9 r 1 7 W 6 8 k a R w d K 8 h E X 7 K z 9 J N b S F j e 5 i X / D 4 n L T F Y D w 1 G a A 6 q R T 9 R 4 U m K H H K 9 + 5 0 P n 3 J 7 / L h G p p T W s v U 3 9 C 8 8 3 i D 8 b H i D e H 2 w N 2 E Z S l u p X n r Z 1 h X 6 X d p M 0 c X G a d c Z B z W y F s c p R E k x f Z q 8 r b C x q u A b E u O 4 X t q y Y F B B r M W F Z T J 1 j U 7 n O A V D m r N J / 8 G F 9 b U 1 O s V 9 N P L s C k 8 X U v m c D Z V 6 K O Q n D w 1 h t Z D F 4 Z 4 R z N D P C 0 d 3 I h D v w 8 F b 7 s X C S g 7 p b A n v + J 4 P Y X N z l h q y b M G j E U W k k 1 l e P j d L o R G x 2 o Q z I n e S G G 5 b Q 4 m I N s F o v X P j 9 n Y n / f 9 L f N Y + V H f m r 1 8 a P D G M z g 7 R i t y V x T R 6 R p o Y 6 k 7 A Q 9 O o r d i m 5 l f o h y R o c c O E p b T g 5 Q L C V G a f e 2 4 O 0 5 e S R A f K S + u L 2 k U Y A 7 K j r Z P b + M q O t u 3 U X a 8 7 T N 2 2 D y f 7 S t t 8 X Z 1 e x v X Z F C E 9 Y R n 7 r Y k S c i 0 t V S n Q 9 z 2 I 0 Y E x 3 H / P g 3 j 4 n j d i b G g E y c 0 t f P A D P 4 I 7 T t y N 8 x c u 4 6 F 7 9 T K 8 V Z s r 0 8 K 7 t f Q W M s U k B v u 1 N X b B E I P 8 I d P 8 s h 4 s 2 7 Z D J h 1 9 H h / K q b V 2 n c y 6 q l 1 i X r a T A m d b K V N A e u I l 7 N 2 7 g / 5 Y k Y q X / o m U n I J + q c S l p B y E y O o r F x V F 2 9 Y x b X e Y W t u J N t e p m x W d W R F a G + t 3 X e O 5 G w q S Q q r v u v d G Y n 3 a / e m w w S M t c 9 E s h 4 I d p L j l 8 2 n Y X M 9 q 2 s R 1 9 N i O U 4 W S d p s J 0 j p s Y C 2 V Q b 4 o D V 2 D t v D V i F 0 h X 0 S U w l I i l M p m C w a t f I Q O G v 6 N d E V t E 5 O 1 9 R X o 7 R I L F M x D R + 7 G 1 N Q 8 Y d 0 S L V 0 I C 8 T E z 5 1 + G a B A 5 m h 5 E q E Y t v I Z 9 N N X c 7 n q S B F q a r e k 5 Z U l h P x O d M f D 9 B c u o C D p l w k n I c e H / I R o T m z k s l A w b 7 6 w i V p u i 1 Z o C 1 v p R Z v 8 X V / m M y V C h k A X / u 4 z X 8 H j L 8 / g G y 9 f I s F p 8 U g E I 5 s I Z J Q i 0 Q X P B E F E f P 4 2 T a d R H z L s d t 9 s J / 4 S N 2 8 f L s E 5 Z u K i J n b Q l 2 w f U g N t K 2 F L p U l w u 1 2 l s g 1 u M k + d G k u T l J n 0 K g b j v c Z 0 t t U v b y l V G h Z o H O 9 J I E A Y + 9 x r i 2 R C 1 b T O O k m A 2 K m q V 7 s R + s O / Y l V + U i F Z W I 4 s k Y R L T G H X V d 3 t l v C H L I N S i 5 Z G M Y h W T z K n h 3 V t 1 I q 0 l l X M L U y j X s r g w u V z e P r p r + H l 8 8 / S H 8 r i 2 e e e x J e f + y q C E T c W l q 7 Y y N 9 G O o 3 V r X X s G J + 0 + U i 9 S i j O v l s n E p D w G K w j w 4 m m i t T X t g G 1 U o H f W R k 1 R G W L m e k + 2 G Q v L Z Z V l 7 w 1 O T h A u O 7 D l W v X 4 A k z f 4 + X P o v X L G w r n 7 f 2 / t w v / A K K p L 1 i G U P k T y 2 r i c R j p k j r L L d 3 e M i s m k u r b Q V D J U i 0 M P I j H X V + i l 5 M R i / j A f Y W a S x Z a d O N 9 w l d 8 J u 2 c C b I p A X V X h Z 8 j r L h C 1 J h a p W A 0 V J j C u S J B x 6 8 5 5 S W V W f y d f z a q d / E 0 8 + 8 i A 9 + 6 M P 0 a 6 b p 5 C t o 1 k c L Q a 1 C x 1 1 7 Q u h 7 o r f H h t Q D d B a 1 0 6 m 6 N W W R 3 F U 2 L I p D x 0 7 i t b M X E I u P 4 R 3 v f h + u T 8 0 Y l h 4 a 3 Y v v / 7 7 3 4 x 8 + / X n C S / k 2 a Y x O j m G J F o e S h 5 7 e O D y E Q n q 1 4 8 / + x E + j T H P / b / / V v 8 F z 3 / g G D u 7 f w 0 7 S q 1 W S O L z / I D t 1 E V d n p k k f w k 3 C O 2 0 e k i 4 0 8 F 8 + + j i + + v w V Z O p h d r I H P h K 0 R m I Y I a n V N J A h z S m C 1 Q V B T K j a v w 1 T i 4 6 8 n Z X g n 5 s + b 0 r t U S U S l 9 c a N t r z r a P d L d K E d F i Z t / Z m F / w i f 6 F J f z K j u L 5 A C e P D I + b r T e 6 Y x J Y t 8 K v b i 9 Y E t 9 L p D M 5 O b Z A X W b a e Z b 5 K 2 6 L R T l Y v a d f 2 T 6 v z d m q f 0 9 3 b 1 8 m s U h a C J Q Y / J Z g 8 J y a y O 8 n c l X K N i q y G g e 5 + 7 B / f i T N X Z x H 1 e 3 F t 7 j J K t P g D Y 0 M K w 8 D 5 K x d t o G R 6 Y Q 4 9 Q 0 P Y W F t H N d P E 9 3 7 P 9 + H + O + 7 H o w 8 9 g k c f e C N e e u 5 Z v O m B + / C j H 3 o / r U U D 1 2 Y W W E X S Q 2 3 Z L l s r b T X T Z 3 u G q w G E B v r m o q A t p w l 9 U y k 8 / P C d e P H 8 H I W M S o v / N O q o v T U U W j U z N U d h r 2 K L f K l X 2 j o p O J o b 1 b 5 7 s e 6 4 o S X t 2 x h L d N v K A r N G / G c C R X 5 Q X K N S h w 7 6 K 6 G T E K q u N o o q K 6 R + 1 c p d K g j r U 0 3 8 + 6 i E a F i a W r R I R a H X x Y q X X A + d 3 H 8 q V 9 p A h R b j m y 9 + n R q g i e u X T x N S R Y h d a Z p J f D + Z P E 3 L E E 3 E s T i z i E P 7 d 1 M Y s p T 8 E G p 0 9 r U n h U a 5 t L m / N k h M E Y v 3 x X x w N g r m U 2 V K K 4 Q 4 h I E U h p m r r 2 F i q A t F O p 9 u T e r S i m V K O Q Q p u P U y N U z Y h X w 2 j 9 / / 4 z / F R J 8 X T z z 3 H K Y 3 8 r h 0 d Q a 7 e + m H U Q O W 8 2 m z R N q D Q h v I r B c 8 + C 9 / 8 S U 8 c 1 b b K g f I v N I Y 7 D T 5 R i K I k Y p N k Z Z h + 6 V x S B 0 T C B F Z c M L 2 G O R p K X o L S 6 E 1 k d b c s 2 + v 3 a / t k D W a p 0 g L D X G b M 0 w z v 8 2 9 N 5 I p N p V H a M E C z Z d o Q 0 g 5 6 O w U M s / u H U N Y S C 6 h P x G j 4 k q y H X 7 z R 0 L 0 R X x U U p 6 A G D l p s X k 2 z y J G U F 1 V E W Y t B a Z S 7 d A 1 O / S d J 9 Q K M 2 P y C y X 0 + q k 9 u 6 l g C n p 7 I Z v O 9 t r K U 8 E U C h k 7 i u 3 2 4 t B t + 5 F a v 4 7 9 w w d w h H W j / r E 3 i k Q C f I r 0 8 p e c R B h J I o w e h E N h E 6 z e W B w f / 5 t / I t w P 0 T f s s z Z e X y D S I U L 5 s R / + E J b 0 w j k S / f y Z C 1 R o s u h S N 6 w r 6 6 T 3 N I l + L l l V P i f m d T R K G O 0 J 4 / a j B + G J 9 e A d 7 3 w v n v / m s / j N X / 4 l X L j 0 E v S K J d 1 b p p X S O j c N P G n f j E I 2 g y J / Z 5 J b y G 6 l k C J M L e Q K y G w m s b W + y n L a f K D B J / v G / p U C v R n + S 5 D 1 W i Y X a a 5 7 S b l 2 / 7 F e 2 i u E W o + 0 l D o l r 9 A q K t p D 0 f G y U G q H w K f j Z 3 / y H a 0 m c b W W V e c E Y a g p / Z T 0 A h 1 k X 4 A w i 5 K v 5 R o R m v g i N e k 6 H c / 7 7 7 4 d 2 V Q a y Q y t A s 2 + t u / V Y E 6 a 5 k 8 T l S N 9 A 2 Z i t W u s w p S 8 o Q i u X Z / G k c N H s L y + D E V 6 a G F Y m f C x U u b 1 i N 6 / G s B Y z w C b U W C 9 3 T h / e Q k H 9 u 0 m o V Y x s 1 H H l 1 9 b w n / 4 8 N 3 Q m w N j 4 Q H 8 7 l 9 + F t f X 2 6 E g i i e U o y h S 1 c n 4 n d C f e q 1 l o V L a E U k d q J W e Z o 3 o v 3 W 0 k u k o n t N y d n v L A v O K 9 / X g 4 T c / i q 4 u b Z o S x h I d c G m 7 i 2 f P 4 + 6 7 7 7 b O k D D / t z / 8 Q z K F c X E 7 6 X v n N y 2 5 7 e f G u m i I X I H D t t G J 1 4 O 9 Y 1 3 w x 7 Z w y 8 g E m V x z P Y o n r K A v 3 o + k I j t Y q x c v b F K x a e k I O 9 J F i 6 f 6 i v l U D D 8 N T r G z T U D E G G J I J q 1 r 6 7 R N i S x C r U t B D d N F y h d 4 s 4 d C R M h X I 0 1 Y L 0 9 Q O x y R c Q g D f / 0 X f w x / 9 c n f Q X 9 X A q + e T Z v 1 v f u I V m O v 4 / 4 T D 6 L U S i P q b m B 5 r U A h q e H 0 t e t 4 4 2 1 3 Y a C 3 m w i m j P M z l w h Z J / G p L 1 1 m 3 y q 0 q K 0 I n F R A i i a X N h P 7 d r Z s M 7 l n 0 t C 6 9 Y P o V a / Z G 1 v W q G g P H Z 3 A 1 O I U L p 9 f x g d / 4 D 3 4 0 0 / + j f H U 8 h z b U W Y 7 6 Z c Z t d m O t t J p 0 + D m Z I q G f 3 h 3 + z f v F a 1 E P w u D u i l p h J G + D A W r r S x t 1 I 9 1 q 9 O H l 3 V W / T S u 1 y K v W T C 3 + I n y o i 3 q p O x M i f + r n 3 t / q 8 T M 6 8 2 S v S 7 l n h N 3 k p n P W 1 S 0 l g Z o k x K 9 v G o x v Y 6 t 1 V U 8 e v 8 j C L C C 2 i X 0 C o W k 7 m o Y c y m e T g 5 1 n o e f s E + a o l y l l m S h g n d r m S z i P N 9 D D V + m d W t F o 1 i l f 8 Y 6 k k h x d L e C 5 l d t 0 C d K h L u o 4 K N Q b E C B T K B p o t 2 3 n s R / / h 9 / a 9 u E L W 0 p k L J J 5 i E j a F S I n a A G 2 V J m E Z Z a S B O h 9 m p S L V 5 T R 5 K I H / n w I z h 3 Z h o v P H + B 0 J G + i w h A A k s I h J B 1 n z I y S 6 A R m k 7 S e S b 9 b T M u 7 9 e t r I P t J 9 B J z M f y E r M o H I W K y T q Q l x R u I y E T n g 9 4 G l Q u H u y i D + l 2 B l g X K g l i f z c h n j b U D H V 5 8 P U n 1 5 H O F P D 2 7 3 k X Z u f m s W v 3 L n z q E 5 / A 2 9 / + d s z N z + O t b 3 k L f d R l 0 o 4 w u F T C U 0 8 / j X v v v R f / 7 X / + s d V B w a u q r / a j c P k S 9 H M i m L q y S A X j p T 9 A n 6 J U Y R 1 Z d / 5 2 E 8 J o E v 6 O 8 X 7 c c f t R 3 H L r M T z 7 4 k t 4 8 P 6 H 8 e n P f A p X L p z F b / 2 n 3 8 H / + K + / i q H d o 3 j l 9 G l 7 s Z 1 C z H Y M j G M m O W f w p 2 e k B 8 n N C p 5 8 Z R 3 F T F u A C I y g X X j b F G w z + L c S a S 5 L L k E Q n W Q J y J y O G l 2 L S J z 9 U M P B s S A u z m b o a v h t J y a f U 5 u p R h A k 3 y 1 c o e W h U q n I p 7 E + v K n P t l N H o B o 3 9 Z N g n Q 4 F M K i v d E g p i Q f 0 A j l V V r T R m x F d 7 D P t B u z l O b 1 C R 1 t V o 0 n + 0 / 4 f D t G O C I L P y 9 p a y N k P / e i b W h 5 q T d v d p 1 T G Z m q L G j N g s + r + c B B h 7 f x C D V + n z z S c 6 E W J e N W G B 2 k a S r X 2 c u t y s Y R u + j 8 F M u m L V 6 8 b P I x 1 B T A a i d l + C r u G d m B 2 Y 8 0 C W P t i M Y Q 8 L q y n c 1 h N b u D E 3 Y / i c 0 + / g P s n A w i y o 2 f X V 9 D f 1 4 1 u d x y x o c O 4 / 7 7 7 b T 8 H r 9 + B Y y f u w 2 c / + 3 n 8 3 M / + A s 7 S W f 3 w v / x F a u w 2 M e Q s g l a u 5 W T D K G Q 7 R s e x u r F o O x 1 5 H N T C M t 0 k o P Y I N 2 3 I u l M 6 + M X D v m B n s I 2 k r J l 0 E w j d 8 9 0 S + 6 Y D u 2 6 M M C n d L F A k t O Y p 3 L Q A e g 2 n o I U 5 y O p M O r S 3 H o o i 4 s 7 i y K 4 D F k d p 4 a C 0 E l 0 9 3 V j a 2 M I / P n 7 Z 8 l d + U g z H b 7 8 d z z / 7 E v x 8 n l 3 a v r a d d O 3 0 q 6 + a T y h / X 0 m W W + 2 y u k b 9 2 D M U w 9 W r K 6 a Z 9 c Z 1 w d w m L V + T K C R E y K J t u b q H / N j Z T X h L S H 1 t 0 U c o p S h 4 N 5 m S c J V 1 H R q u W Q j Q B x 5 5 B B u r M z Q S T l S d f l x c m L U 9 / b T L q z P o o J / V f v c V n z R Y Z M w q m q g + N y V Z X e 0 e J a t d K R T h o J O v Y f n n P v e 3 + P Q n / g 4 / 8 R M / i Q 9 8 6 I e Q p U v w J 3 / 4 3 / E X H / s 7 I p 4 0 T p 6 8 F 3 v p e 6 + u Z T A x P m I b 4 i h 9 u 7 C 2 0 + s F y u o h f j H r z v b z + w 1 I z X + a G F Y U T 5 N 1 0 g 5 A D s F h W T K v 6 k Y k Q 1 6 3 N z e 6 K X j b b d J S E 4 2 e 2 l z V m 9 5 5 s p U g k + c I 3 R R V o M g H f z i A r V w G C + l N d N G R D h P b B 5 l B S P M / f K h C J k 3 q T Y C E Q 0 5 n H f F A G O u 0 L s 6 G E x l q Y p + j h o W V F I Y G B z C S 6 C O E d G K Z D q Y k P N 8 g 5 i T W L d I C q F H H 9 h y 2 V 2 e 2 i I E H e v t w Y X 4 K a + U 0 7 j 5 w F z a 3 k k i v s Q 7 B A K r + E D 7 2 T + e I 6 / X W B m o K C k B 7 Z E v 7 g S s Y t o p d Y w P o 6 Q r i T f f c h o G Y F 3 / 2 m a / h m T M L t A 5 8 h g 3 W / n T a / N C W s I v I G i a l U l M 9 t I x A x G 0 L 2 b f S d x Q u 6 x s K l I h p J 7 6 V d K n D O E 5 q f z n I e h O E 8 j G N z K T X 5 2 i r r 3 u O U 7 k U 8 9 h 5 c C e K + S o u z c w h Q S W 0 m M n g t d N Z g 9 8 t O s + N j p C z z u 1 8 2 k n G 2 Z K Y Z r s i G g l U U k R C m 1 E I h K n c g l K s r F 2 l q s g Q Q k c y T F X 7 S W h u k d o 4 I F / N W c L t + 8 N Y S z k w v a K w K N L F p e F p z U U 5 k E g k E X Q U 8 e E 3 v Q 0 v v f o c 7 j p + J 7 5 y 4 T y W k 0 m j b 4 I a u + A c x Z n L K 7 Y P h Y 3 u K U q d y W i 7 n b R W r A 1 Z a Q E U 8 S C H v 1 A 2 Z d g i L 8 U D d R R Z x 4 B L W 7 j p n b g 5 3 H n 7 E F b T f i w v J j E x m k A i 5 s D M 5 T U s 0 k r R I l i + H R r c n H R O U E x z c D c n o 6 M E Z Z u e R i u 2 U f / 0 2 t M a N V K L A q V B B x f 9 u g a V n e b A F K T d 4 H M m j t v C K E N v s Z 9 S l r / 0 S 7 9 w q l 5 1 o n 9 4 C N l C W i O X q J F R N d 6 u t w p U 6 v R T W K t M T R t h 5 h D Q E n l a G s O N x J z a r d Q V 9 K C P 8 E X X i T 6 t Q l 3 0 i 2 T O V z d W s J 5 J o 1 S o m h 9 B e 0 4 m U d B l F t 2 x K C b H R u k I 0 w G n o K U p Q M V y k d b I h 4 g r S i N S t p n 7 g a F e 3 H 7 k I P a M 9 d O 3 m D Y 4 9 o b j u 3 B 4 9 y A e v H 0 f b h 3 2 4 6 0 P H s N k n w / 3 H N 2 L F Q p l g J 3 2 P O 9 d S 7 M d t J L t i H M x F b U Q i c U u p K D J 3 9 L w L u t F 6 2 i D G Z q p F 5 H V O W T K t h 1 q J 3 W C f i l 6 3 F Z 3 2 m 3 t 6 7 I I p K 4 9 Z / c Y 0 u Q 3 M o 0 K F g 3 r 0 n i C O B R k v R g g E o 3 R I r k Q I O Q S 3 N s 7 M o Y C t d 3 V B b 2 Y w I N a I W f w T B m a 6 L J A F d N h A j G L H f a r n T r n 7 L v V l 8 r G z 7 y K G b z 3 f T + A K u H h + O Q E D h 4 8 A E X I H N 1 / B F 4 q G W 2 C r z 6 4 / 9 g o v v n y O p 1 z Q R m R 2 o n v e / B u H N q 7 h 1 A 8 g m M H j i P k j G K F y m l y 7 F Z a z J j t d 7 6 j d z 8 e f + 4 K 5 r T 9 N Z W b N t G U R g d 9 N V X H I Z + S R J E g a + C K H E p F y H o J r p s i I 9 Q m Q y p K R m F R W + m K w S i 1 T d E u w Z h Q U x K N c g 6 p P O l P O d 3 M E 0 7 S 1 7 d g V t F e 2 l F J 9 N K D 2 4 T R 6 b b q a / t w J j g a n O A F s z C 6 g Y e U r F Z O 1 2 n m F c d K U 8 T z h P U u L S Y U L O X 9 1 A M 2 U E H h s o 1 c p P R s Y I f n d P s 7 P 3 C S 7 f B Q 4 9 c J 2 3 p R o p n X U m 1 J 3 M b W J n o H e 2 y O y p Z a 0 E p p J j t I P 6 h I E 5 3 l v X p J s j c g Z 8 1 n S y 8 0 M 1 4 o U F h 6 9 C a O H M L + O H 7 o x 3 8 M U x c u 0 8 H 3 4 c z V V 2 i 1 d u C 5 F 1 / E O 7 / v + 2 w l 7 e L i E n K 5 A m F n D W e v v G a j i t F A n I 1 v 4 u i h I w g E t V n i d W R o F f c f O Y 6 V J G F n V h O i Q z Z Q k t r K U 3 M 4 U a K V D N K K s l k W 3 f H R f 5 r C R m a T U K 8 9 C n n D + g j 2 e L T P R I V + j q y V t F L I B g Y k c o K 7 w u P q A k v b W r + T b L E c a S Q / T Z + W e M 6 S W U 3 d w 4 O a s 8 m O 0 O h o N l + y O R c p F Q 2 v 6 8 0 d P t b 5 l s O 0 m L m 8 L e / o D c W w k m r h K y 8 T 7 t G n r J D + r K B 1 e j v T b 6 + H 0 s 0 W 6 z s l D V i p 8 8 V h D r b P p U l I K q y h o S H z S 5 b X V y m 0 U g u s T 6 C B R 2 4 f w 2 e / s c g y R Q O i a J K t S S W o y B k t R + + K k l f o U N w 6 S Z + m n k M + V 8 O l a T r u r K I m O 6 W E S U j 6 t X V U C Y 8 0 s a t N N q V c F S K k F d 5 6 W 4 t 8 D y k X D R h p E E l i 5 / S 7 k F D k D Z V t p S A E I 9 + E d C Z M D 3 R H s G d n D J u L Z U Q o c H q Z R a R r E F O v v k Z k 1 L Z Q J h h K r H i n 7 6 w f + M d o q O / q S x 4 2 h U B h U J L Y G h 2 F m i i w D f K s I 0 h e p 9 C L V 6 y f p R g s D w k T l R R 9 Y Y 3 8 O m W F t 7 t A Z b k O H p 0 8 1 R 0 P G E 7 s p 4 9 U I Q S p V x r 0 n b w Y T N C X 8 U U Q D U e t g l 3 a I 8 H v h 5 + Y W + + B 0 s 5 H e U I I v b o / m U u T W F 6 M D Q 4 j T W F T c G t c k 8 E k z v L 8 N J Y W p 3 F t 5 g o 2 C C O T m w u I U u N c f O 1 V P P P C 0 5 h b n k E 2 S Z j g q W C M / p M 0 u 9 a b r G 1 t 2 A Y f L 5 1 5 m V r c R Q g 5 T A H 0 s 6 F Z W 1 + j F 0 d r c j k a 1 R v L 1 2 2 J h l b f k n 0 Q C P f h 6 6 9 M o U H r Z B H K J I Z Z F R 7 S u r Y e R 6 N u G j z Q c 7 S E S u 1 O I Y G Z v + y B x M r W 5 6 i X t g k n y o k e p v q k 3 W n v O i E t E j b 2 G L / z n J 7 i P d o J l q r P F L Y l C p W W U W t u q G / Y h + I W 4 X G i n 0 z p w N d e n D E B O H l i L 2 a u z Y t L + W y 7 / p Y / D 9 O E z M Y O q w g v 6 7 v q 0 E n S n r K M s g r M T 1 Z f E f V a + y Z f p 8 A + S u d z 1 N T E / v C i 7 m Z b i U a G B 1 1 Y X N W y c 9 L I h o N l O T z m g 2 g f h S J 5 s F I i I u m p E o X 4 M D I + i T N T e f K Z 7 i U l W F V t 2 G l W Q 0 L D c k X T z o S 5 R i E l 3 L x s D d B y D g 0 3 e 3 1 h h D 0 1 F M h L i q v V z r i 6 1 V U u m M X o H / R T k V e Q z L S w O L t I o X M j F K Y l p L U S k m m 3 o 5 2 n 9 d U 2 u m B R 1 g 9 G O 1 k Y 3 q L 6 q H x Z I a u X P H E K u l 5 W U S s R r V A p + x z y a q k g K H j a B 8 T c B L Z d 3 W t W z Z 5 j v u T 5 b d w A + k R w v e H + g 6 c 0 m R q P d C O V y h M e e O G l d v J Q q z S a F U I T v f 4 l i z y h m E a 4 1 i Q 4 Z E C x j e L t N J r V F Y 6 h v 6 e H j u o a u v U e V l Z i i 0 7 p 5 E A 3 + o h 3 t b x C l s P v 9 V r Q Z T w S x u A g z 1 d L 2 G s T t g 1 E e o J 4 2 9 7 b M U 0 8 r m 1 2 X 7 l + g R q U z E 9 i K 5 p c o 4 X a m l l r a u q N C g m v R Y k O 2 z x G e 3 5 r p F B O v z S e n 1 r 5 Y / / 0 H N b W 2 b G E q h p v + G e J x D U C N 2 t U Q h X 4 g h E 7 J 2 I p T K g T Q U G S G S 9 b u p l h O 4 n X j J E 7 l 7 Z v l k C a k P H T h j J 1 o 3 r R z l H L S R s 6 f f A G 6 7 a 3 x p 6 h n f j 0 V 8 8 j p + F g + i y J 2 D p 6 e h J Y W y 1 Z n b Y z / V Z Z N x + v S 7 p H j G Q w i G X a k g W e U 8 R 3 z Q a S a D l 5 r a l R S N X D W M 6 F g / v 7 E A 2 1 E P C V s L h e 5 L k g D 3 L 1 6 8 p x O v O I J x z 4 x m n g y l W 9 I K 3 N Z C r X B J x l 8 i m z P G q 3 f F R z 9 v l L a 4 q 0 I k C D I u I T L f 0 h w d G V c N P a Z S y e U y + 1 9 k r M t K 1 z i d i O / a f F r 1 t p K U y W 4 Q r Q 3 3 a j p 5 s + P Y 1 T Z l X v i B J H 3 l R J I 7 W I 0 P 6 0 Q Q j R h U p G C k b 1 U M S 8 I j 6 0 6 7 E G k P I b t N Y a o K E k N 6 h g 9 Y o c G 0 p n o y z y h f 0 k K V e 2 u l / + q r V X A z d q K 6 X N d e c b D p 9 q l I n t 6 2 L 6 b u z b f R f u u v M R v P 1 t 7 8 E 3 n z p D b e H F B 3 / o R / D e d 3 6 E j m c Y r 1 4 7 g 0 1 C v T X 6 O w 4 / L R s z 9 9 A 0 j s f p D 8 R C F v 2 Q J + W S d C a 7 6 U c N U v N q 7 L 5 E T R S m o M S 1 y b 2 z g c 1 a H l X 6 M L l q F f / + 5 3 4 P b 3 r T u 3 C F / l Y y V c X o y C 6 4 K 1 7 8 z E / 9 G 1 w 7 d 4 X E H q U 2 d G O L k K 9 F N Z G n F V W 4 T I V C n k 6 m D U Y p 9 l B v 5 i i T S H 3 9 Y / j L x 9 n b J E a r 2 m Y I I y 6 T E Z W d r 2 X 1 M u f i O U V / a N m K M Y U 0 u w h M J r Q R I J l 9 3 q o Q F O s l 3 S P N v / 3 d z n W + 6 7 C O 1 U d b O C W 0 8 k / 8 9 D v r g p 1 K G g B g D k 1 n B b m 0 x x b s 1 W o l X J k u 8 K w b k W 4 v b j s w Q q V E b U 2 N X a t T g S k / X p W F V Y k 3 t 0 f l a o t m 8 + P 0 W / / 1 X T / l Q J M R G o S i X q 3 B 0 v O i A f P T q z r N w r r I N E 0 3 R n b 0 o 1 L N o 6 c v i A M 7 D t k i Q W t n m 4 D t D J m a 7 N G 7 T r y F / k v K p k v e / Y 5 3 I p X U S + X k N 8 m y S Z h Y B m n K D E w R y z J p B b I W r s o y y 1 K a b 2 v W 0 0 0 k o x g 5 o g / R v J S j t p b C r k r m 0 P Q E 4 O + O Y W w s j 6 6 g m z z k R F 8 s g 9 W t j K 0 q W F 3 Y 4 n M s j / + s l t Y v 7 f p a X J 7 6 g f V X f 0 o m m u w P 7 a z l Y P 2 0 k p n Q h h a J / h j L d w X b q x e c B n H J E 4 R 1 E j A v D U L T R b U j 5 c R D I V C C j T a n x T w 1 Z y s + c v z g z z z a K t G a a G m 2 m P P w g b s F e 6 k Z 5 7 G 4 t s y M / N g 9 O o n 5 h S X s 2 3 c Q a 6 l 5 O s z t x W e C h 3 3 d 3 V h f X c X E 6 A 5 b C j G 7 O E + B r W N + Z R N 7 h 7 U B P r U K T b Z W n 2 r A Y W F 9 D d d z a / z t R a T h w t H D R / H e t / 0 I k s l V X L 8 + h w s X L u G 2 O 4 7 j 6 a e e o v O r V 6 t E 8 d i j j + E b X / s 0 9 h 0 8 j K u X L p D h q d V p Q b V v h Y v W V c v G F T G R S q 5 j / 8 Q I f v V v X k G D n U 3 / n t Q j c W U t t o m q 1 B k 2 N b K L u S R E F F A l f j P m M b b l / 4 4 g 6 V P f 7 P 6 O Y O h 7 + 5 s l 5 c l u s n u s A 1 m m 8 L Y m C 2 0 9 h s q 0 z u a j 6 l k N D 5 E + i p L / t X / 1 E 3 j H G 9 6 A j 3 / i E / j T f / g 8 T h 6 h N a 4 7 8 O E P / x g O H T y K T T L s s X v e Q j 5 T P b / d 5 F q 7 d C i p v l I W + s m O b A s g 6 8 F z s u Q a k N H c n o P + k 1 5 h I y a z 9 y v T Q v l 8 0 u Q 1 3 H d 3 H 1 b m s z h 3 l X S i s G k I x 6 z t d m t F h 4 i 0 v J i d j G z b k z W r K M q / Y H l 1 M q L W X u m t l o q c N / 9 V 9 G f 7 F Q R Q S K W N a Y U o X Z q W o f D d s n s f J s Y n 2 k q R f K X 3 G e u l e E I j f / n R v 8 L I H k 2 2 V r G 1 2 U D Q s U 7 h G k C u J k E s Y f Y s 2 0 P m 6 4 x w t p P 1 J M v Z t k w s X 6 P B k q 8 a E Z Y j k y S / U p j Z N 7 K w i t J x + S O o s X W y P k q C d R Y n S Q g r i N 6 i 3 y t L r v a o 5 7 V f i b 5 r x 2 S 9 k U P b h j v e 8 Y N 3 0 5 I J Q 3 q w u b a J 3 / r 3 H 7 V 4 K O 1 l 8 J 9 + 5 z d x 5 M Q x Y 4 Y X X 3 4 O H / q h D + M f P / f X r H i L 2 j O P n / / J U y I 1 / v x / / S X u u / N u 3 H r i O J a W V 8 g U f 4 o P / + j P I R 6 K 4 J d + / l / j n e 9 5 F 3 Z O j O O J Z 5 / H G + 6 / G 7 / y 3 3 8 Z M Z a p V 7 g E a F m 6 P U E c 2 r s f M 0 v z 1 A J N r G z q t T g b m O z q x Y N 3 3 I V z 1 8 5 i b G g S X 3 n + J S Q i E X s b y K F 9 + 7 F K v 0 l r + g 9 R 0 G b n p + g D J r B Y j u H / + u 8 f o 8 k m 3 G O H 2 k j R N k G N 8 Z g M y p G y R h h R W N c J p 0 R t 2 7 m G B K 3 J W e Z v W y K t k b 9 t G G N s Z U K m H 2 0 o 0 R k S t j K k 3 d i J F p Z k e Z O / S W j 5 o Z l 0 k k L G E 7 R Q T j K O B g P o E B q z O f N b h N s D F J W q D d 4 8 8 k A f s q t J l F 0 h P P W N K b E 7 a q q j B M T a 0 W 5 L J 8 l 3 s a x 5 K E J D 4 q 9 1 h 5 o O E P S T Q O l 1 N k G W l y + x X M K + z l w K G 8 2 q S v t q Z K + J i L e E e 2 / f g R d O L y B b b N E F 9 f O 8 h O l b A v W W h x / G C p X n 8 N A o E Z s b O 3 b t w O / 9 1 z 9 i W c 6 2 F a I j r z k x 2 x q M d G g H 4 v K E 6 F j d j h q h U t Q m K + R Y 5 s z f v K 4 Q O E 0 z i C y q u 5 t + e t 9 4 P 9 J L y y h K E N k 3 d 9 8 R o k X o w u w S L Z i n g a s v r 5 A a F F z r Y 9 V Q f + x L m x 4 8 2 V G g s s y 9 Q 3 3 I X Z 9 C l Y h J f S f 1 K V 9 a 8 0 + y n O 2 o F N 5 L N 0 N K h 4 R p R + B Q c W j p i F d 0 Y 2 7 2 2 l S W K T N q b 0 z k p + O x 9 9 7 R 6 q X f U 2 b l 0 5 t Z Q j 8 S h A I U j w n C R Q n V q H G q B U p 1 A 3 F f H 2 n P e 2 j u 9 J o U f y C K q k Z A a P Y k y S W a h N 5 g j O Z T 2 0 J V s M V z c d 4 b d A W p T f T C g A 1 0 k U G 6 h k L U u G Q g a u e a o 4 J S W W / m 8 2 G j m s T U 1 B z 6 o g k c n N h D K N m g B T t C J q N W z e S s L k v s x J y 9 5 j 9 B S M n 6 U f F r j R a l H i F v B L / y Z 1 9 D k c L u p M b Q d m M 3 C 5 K + W / A j 8 9 W n i G m E 5 n k 5 n R 2 i m x n n N 2 U r a 6 S J / J Z C d X j N r I 7 l x q S 8 O 8 8 z L 8 3 F 1 K m d m T k P M q f y J 5 G D W k g 4 P I w d k z v 5 U A 2 j Y z v a + 2 3 Q 6 u v t J p / 9 7 G f t 7 R R 6 x / D l q 5 d s c 8 3 7 7 u 5 H d z S I q 9 M b O P 3 C E u t D D a k x 2 5 u T 4 M f r k r V 0 G 4 r I Q i l G 0 O r J 3 5 o T I 4 5 i 3 e h k S 8 B Y d y U J a F t 7 t 3 9 7 P E 2 8 8 e 4 9 9 I k v 0 G + d w O N f u 0 7 r E 2 L e o k 4 7 a d D h j Q 8 / S C T x N I X d Y Z u I i q H F j K K v D k u 8 z + j O 8 6 K n R o K l d M S o 8 l E 8 z h w O 3 + J H L h n C t U V a Q 1 q k a j Z r g h b o 7 W o P k H n q S M 5 T e b I N Q h N H j 5 K m Y Q e u T G m v i g C K 6 + 3 X 1 S h q p a 3 c p C D b f a 6 k / l d b p W R 8 L L N a Z f 5 O C h P b o z Z 3 Q q F E T 9 V V V N D c l f G I F D L v c X o D 1 v d a 6 6 V k f U 7 6 q o 9 N k P i 8 B U c / / O 4 T L e 3 w Q 2 u P v p 4 9 Z B z 6 F 3 T 6 H n 7 o X p w / e x n v f P e 7 8 F c f / S g W t x b x q 7 / 8 H / C 7 f / B v 0 U V t u 0 C I l i 7 R T 6 K 0 C i 6 u k o l 9 o S B 8 b E / Q m c B W h V q j U s b o x A 6 k N 9 K I + M P w + w I 0 0 S m a / E 0 4 t f H 8 w g J 2 7 R r H u Y u z t t / 4 z P I 1 9 C U G r X M j g Q h i D q 9 t k J + I R W h 9 e p g / Y W M 2 A 7 2 1 X n F W n j B N d H q L j n 3 U 5 p k C X X 3 4 p f 9 M 6 5 Q r o 0 X m b u 8 / v U 2 s 7 X T z d y U j B O + R Y 6 x P s Y w I a A e / S w s 5 t V C Q 2 s m u S 8 D 4 j H U u f 6 t D J E T 6 r n O 6 R h T E T m r D P j n m g i K K C S w S h m p 5 d 3 u X H D 5 D C 6 W i V a Y 2 x G 8 U i g o U o L Y j o 7 n z 9 s K w R o n 1 k Q B Q / d g S g Z v T d x A o Z W i Q h R Z S a 3 R M C F U I 6 + T W w k G 2 Q 0 t Z Q l R g h Y q G / X m B 9 R P N 2 0 m M T 3 v h K O L h 2 3 u R L F Q x Q C v x 8 v U q l j f y 7 T u Y n a z P r p F h e 1 6 W 7 v r M r F S Q + X F G J x 7 a B c i K 5 j 2 N H J l e G J H M 1 9 4 o k k L F f 0 O D K 1 Q 4 3 a g S h u Y L U W x t U Y G z A M W Q a o 7 H 3 V T A K + l C x l W e V r 5 D L 7 0 L o O I s o l Q Y p C / E v D U J a 3 1 C B l S b Z M 1 v S q Y k K Y x S 9 t W K l l z 4 2 U / t / p M I K t 2 I 6 i f N 1 J e q v A T K f D 5 C Q y 3 5 Q K 0 9 U a 1 O M 3 d A z 0 u o V C b b 5 X r s T X e d 8 j G j o V g 3 U l t r N o G 2 V l 6 h P 0 I C 1 T J 4 4 a U n 8 O z 5 F 2 w 0 5 b n n n 4 S H F W q H z 9 d s 5 6 E G c U V q a 4 u 5 e 1 C g 2 V O 8 V b m Z a 7 8 x m w R p a C S J W J d n 2 W Y y P R 1 M F y 1 T d y J O i y K Y 4 W W e H u z u 7 4 a T P T 0 4 P G g v / v J S m E a H h u y d u e p A d U A 0 3 o X e g S G U K 0 2 s r i w g 4 o v w W d g S 9 6 1 8 G n / w t 8 9 T 2 L a Z m 4 y v D r a G b i c R 6 Y b m Z O p 0 v D E T O 9 8 i H 8 S k 2 + e V b P U s 8 z G 9 R y F R n h a / x c u d 4 V d N W O p Q J / J J K 6 O z n N q 0 G v / 5 q I R K d T q 4 b t 4 h u V C H M d l 1 3 m e R H x S y p j x c W v Z G k 8 x B H 1 N 5 q g x p Y E t q z 3 b d + K X 9 / a Z D n a + 6 d 2 C t J q o 7 S X D J c H 9 L G 8 I E c P u J s L 1 C t G 8 g a B v 4 t 5 r 0 A V g 2 q 4 s A h a g 3 W i L E 7 k W 8 p w d + W p K k h r T r 8 i / E r A 5 s 0 Z K k d K R T / K 1 2 s g 7 q L B 6 s t h 0 W T 8 l P L 6 2 u r K R G + / R G e O 1 d c f R I w K J o S l v k F z L l 0 L C H i r S G r X Q B 8 d 4 E e a i I f D L f H h F U i T f 6 0 k M e Y P t c 2 l + / T j + M 1 k M T r L y i a Q r R W / + V V B 1 9 l 5 I R / L T 9 y S X K z I t V M I E S r c z S k F Y K Z D b / T v n I Y r H O O m x v D O Z l 6 7 z U R D V K S l P w V C y j f H m D 6 8 C t k 6 e i r J A 6 I 1 n N 2 3 t S t R 9 A z B 9 F L l e 0 7 Y H r / K e g S n W 6 h n K v L E / b y N 6 + s X H U S m U b 1 f P H g v Y W O S 3 r 0 O s 6 t 1 J 5 D P T 0 Y 2 Z t E W F C l 5 j X h R 0 7 d k B v 8 f P 4 Q t j S m w h 3 7 C V B 2 m 9 n E O Q L K Y a w 2 s L a A r W W 1 2 d b h u m d t g p O 7 G G n P v n k E x S k V U R o m c S U T W J v v 9 9 n k 4 r / + O w s F j L t 6 H M R q B 1 J 3 O k A w R j 6 R Y I b N z p F R C F B t g 9 j Q m k b P s 8 T Z D w R j A T S O R G e 2 k 3 n 7 T K / q z O s 3 6 S 9 e B 8 L 5 T l q a J 4 W c + j U j f v J Q L b l M i G p 3 v 5 o i d d s Z y V 1 J G + y C U d j n H b 9 b q 7 n t 6 X t 8 3 b d C t l O n f M y S P z a e V 7 D / + 0 v V B y a 2 6 E P o A G E p i O A r o R e V b P G v m 4 R h n b Z 9 g P y Z Z T 2 j A 4 h 7 n d D b 6 8 v 5 A i 3 a a k U 2 l X K O R C P + F D O b q n J t F Q C f G 1 l p a M N u d q p U w e j r + p E u q m d e 8 Z 9 t E w F K u J 1 + D 0 h D P U P I R A M Y S V Z w F o 2 g r H R Q S x e n U V u g / X p K J L v k F x U U n o z u 5 / K w V Y a 8 P s N u v H D E A P / y V + T c r F d p r b h s K Z f p P y s b q S N P b f 9 y R 6 x f l O S g t V u X m a F + N t e i X M T 3 d v l S S m 7 a I C p s L y J 8 K l i I 4 f L y W U c H Z i k Q O R Q J m N m q U 3 P z V + F 9 o r T O 4 B W V t O U c j c F r E p i p n F o 5 0 7 i 4 T q F I 0 p B c y G 1 u Q 4 v t e u x 3 Y e w l t z A m x 7 4 f t x y 6 A Q L j O L E 8 T u x u H Y d N e L P 1 a V V p L Q H d 7 a I g i L M l 2 Y w P j G G 6 b k F 7 K D z W S 3 V E E 3 E k C G 0 u + e e e 1 E p p B H r o 4 N O 4 d Y Q q d 5 F l U 7 T Z E v z N T 1 Y 3 N i E r 2 8 3 n n z h M i p i V n Z A S x C M A t 9 p s B H J m P w m B m T S e Z 3 r M I E + 1 Q k G 6 9 g B n e c s e p 3 w U U L J k 2 Z V l H S P 1 J P 9 5 B 8 T S J Y t E s t S K J k G Z I c q n 5 9 5 2 / f g y Q u n m Y W e Y b 6 y B r J 9 f M D 2 m x M z y 1 K q X v b 0 d 0 m 8 z g z b n 5 1 D S R V R u R J u a l m N h r Y 1 R D t p S F r v G 3 Z S c W k x a D J d x S 1 H 9 2 F j e R a F b B m H D u 7 A 4 g q t T c u F n 3 r P O 3 H r r b f h B 9 7 5 H t x + 5 C 5 8 7 2 N v w z P P v 4 S p u S R + 8 5 d / E W P D A z h x 7 D Y 8 d / Y i y y e 9 6 y 7 e v w f L S 0 m x M M 9 t l 0 s / V q 1 x U N J b x L N 3 H e + m g 7 9 E I a V y a y j o 1 o N M P o u 1 l T L W 1 0 i r Q h 3 r i 5 t E V u z L 7 X 5 Q u 7 R F X C R K n 1 3 I R 3 3 E c 9 5 g w O 7 T m x 6 1 s s E R 8 M J F / h E c F Y 3 N W m k k l f e K / p p f t N F a 5 m v C x C o a 5 e w W W X V + 5 x / b U 5 0 n 1 Q + a s x J 9 b W 0 d + 1 Z X T A D 5 v O g p 0 h M U M n 8 i E 9 3 3 N 3 / 7 9 6 1 k Y Q 1 / 8 h d / j s M T B 3 D k 1 v 3 U Q m u Y X r + K S 9 e u W 2 R E n L D L 2 Q z Q c Y 5 h j l Y j 2 h U h v C 3 C S 8 L 3 E J 4 t L K 0 g G g 6 h r 7 c X S y t L F t s X o 8 + U J 4 P n C B O K d Q c G C S F 8 N C t B d q Y 7 E r U 3 z H / 2 K 8 / j r g M 7 K E w z O L T / I F b W V t i Y G g 7 s 2 Y M r 5 y 5 i z 5 7 d S K 6 v Y 2 L P L r x 2 b g r f 8 + 4 P 4 U / + 5 K P 4 t V / 7 D 7 Z F c 4 J l p 7 M F f P k b z + M 9 7 3 g 7 D h 6 / p 8 0 / 1 D 4 3 G O 5 1 6 T s J V S f Z d w m F z K Y Y k v c K 8 i l W S 5 b P 4 K K e F + F 0 v 4 R p + 3 l 7 u Z c + 6 f O 1 B z X a H a I k S P B j P / h u 7 D t w G J H u C H 7 s X / 5 q u x 6 0 m G 2 o o H t 4 E x V S i w r r R h 1 v q t t 3 T L r + u v a o 3 t L C N m q p P T 0 6 A r V 9 n 6 Y b L I K c z 2 p Q o N m s Y K j X i 3 i 0 g I H u G I b H d u O L T 1 x G u k z N T E t 2 6 / 4 g f b 8 t j O 7 e i a W p d V y a q 9 v k / Y b m I Z l H I B h B T j 4 t e U F C Q 6 K w K L b J K K S / g r Z i S O C R e 3 d S I K 5 h e W W T y C K E b D Z n C s f 8 i W Y v r s / n 8 M H 3 v 5 d P O M 1 v l r 8 1 O z t r w + + v P P M c H n r z m 5 A p 5 N H f 0 4 v / 9 v t / i P g g 3 R T C f Y c W 2 E m J k u o t C p g J I e l g O 8 3 y k s Y I 9 O Z 6 J V O 2 9 o 1 p m 3 6 d f l I f a h B J V t d q z j 6 x 5 R y 0 r P b O K d L S L J T d z O c 6 1 n 9 7 y s W s 8 J v e c 1 t L 2 / t q h E x h P L V m A X 6 H 2 1 b T Z t I Z x E L a R b Z B D a E 3 r X u x k U k j Q O H R W + w S / o C 9 s X B s 5 y Q W V 5 e s g 7 R d V 4 h M M b 7 n A C 1 S D V M r K 7 b 3 w 4 H R c Z R z D Q Q C P g w M d 1 H A R v D E 6 d N I J 1 f x / e 9 4 B 7 7 0 j a d R p N Z 6 4 J 6 D F l r S 1 a s R R R e u z 0 1 h M B 7 H O u / T Y r m h w Q n U i 3 W 8 9 M o 3 c P j h D + D 3 f u 8 v y f A B + n t k R L W K j r b T o f f x 0 v m X / + D R m 7 8 J c U y 3 i A 4 3 y G l J H a p z O m t M x k O C I 7 / K 7 u R v Q T 7 d 4 y Z d N M o k C 6 W 1 L 4 p N 0 5 C x R q 5 u B G j y U D 6 6 3 6 w c s 9 C E Y L Q r Y a O P g n l 1 M b w G T N i B 0 p i d D t V n W 3 v e l H S t f f l G u q H 8 V d 7 2 s 5 2 k V 5 Z K O D U Q 0 p A D r b V C u o W 3 G o P J M m o o m G j j 4 N E 9 u H x 5 h p D V R y X m x K H J A X v L f I v Q c H o m j 6 V N F / s p D R 9 9 g A f v u w d h f w x V o o q B W C + + 8 d Q T e M v 3 v A v / 9 r f / g A x o e t v + d w V C 9 l L u 9 s b 7 D Y z Q P 9 s R b 6 L o L C N A f y 1 D A Y j R 9 x W K 0 T 4 Q u X x K c 7 j w e 0 O 4 e K l B v 0 n L g y Q g C o 9 n f d V 8 t Z G n 1 G y 1 X d u J N Y O 0 Z u R X D Y j Y W j M K v 8 N D x V / R l u F S K u x X C 0 Z 2 W o S I 1 s 4 p W d + Q 5 v p l S k d p W z D Y s z w n Y e K z q j 7 7 T 8 u T J N h 6 + 4 e F G 0 k B K l l f b 3 / v E J i a 0 / G + D z 7 Q 0 n B 0 X z x C J g q i u 3 c Y 1 6 6 + B q d C h a h F S v k c I h Q q M d 7 l q 9 c R C 8 d s n 7 a e 3 g G E K R w z i 1 O w G X 1 K b i q l 4 U s X E k M R / N F / + C h + 7 / d / H 7 c e u w N 3 n r z T O v f 5 5 1 7 A + s o 6 3 v G O t + C v / / q P s L m Z Y S c 1 M T I y h L O X r l g g b L 2 8 R V / K j c V 1 D Z O X 4 V M H U W i H q L G k a T Q p W W l 4 8 d T l F S z M z a G L G P z U v / 8 P W K B v p b f 7 9 c S 6 7 J 1 S o W A Y W u f 1 x S / + I z Z S R S p / E a / N 6 J 0 k 4 h p M E 4 H 5 X W Q x Q j E p E l l 7 y F F N W a e 0 C c h 7 y a i 2 b J z J B J H P G p T g Z e U j g n f K 0 K c J K A X K 4 w v a L k f a 5 t g E 1 A S q z T T K u y 1 6 / G l d / b o k h r o p d X 7 d u F P X V S Y / 9 W o i s m W 7 P V R 6 q n P n P l n Z t v V W u 0 g L 0 s c f 9 t s i Q w W Y 7 t 3 j w 2 C 3 F 8 u E 7 9 E Y E U Y 5 g K u X V q y N e w / 2 o 7 u r i q 1 M E 2 c v a P S L x Z m j r v m 6 d t u t T J b n b B V Y Z p D 1 a O D W n c A w r f J C M m n b B 2 Q y G Z T z F U Q j E S K e b s w v z P B Z J 0 a H R / H M a z m 4 6 E P n 9 F q l b S v a U W Z W Z 9 V f j X f 4 4 I s G U F E Y l Q 1 I a C s x L 2 I 9 Q e T X 1 t A o 6 S Y J I z + F 4 0 h r Q T d b A y Z a s 8 8 t T 4 P r o r 0 y Z l J k j R S v I D k f M 2 g p I W E D T T k r J l R 9 b E l 1 6 n x v J w 1 m O N 7 1 / t t b d c K w g G L a m J F m v v 3 M U + 9 l z d k e c V 4 c O 3 I U L 7 7 0 P A W V m V N i 5 1 e X 0 U u G L T d K q L H S 3 n C Q f l f Z 5 l S 0 5 P 3 h 4 3 v x 6 W 9 e w l 1 3 7 E U 9 U 6 O A z t B x D O L Y o X 1 Y m F r E 0 Q P 7 q A l T 9 n 6 p R 9 9 w F 8 6 c P 4 P e n j E k C C W h 5 R S V F D V h F K c v n a b 2 p G N M h 7 V Y T F v n N 5 t R / N m n n 0 G k 7 E B J 2 F 2 E p i / 3 g z / 4 X r x G i 5 c i P F k m B o / G / E i n 8 j i w b w 8 u X J l t E 0 Y d d B M R O g I l o u q s f m v 0 R x Z K F s e s j + 5 X / z D Z + 3 R F a H W S 7 i U 9 7 F 4 + L w E 0 p u J v 5 a N z 9 p i + U 1 u 6 v H q r h U p h W T o n g Z I W V u I z m o T V M x Y v 9 v 8 l M U 9 m Y B b K l I D O F Y v 0 m e y b J d V L k i A l 3 J 6 w p g b 3 R x D q 6 a H y 2 q B C 7 c U d t / V h w F 9 E g P 5 q s + 7 E / c f f h L / / h 8 / i 3 d / / / U i t z e G d 7 3 w f n n v 1 Z a z T V / r G U 0 9 q v A x r 9 J 9 O n z + n E s i O N f r R 9 E W Z v c P b z X Z t 0 T r 4 k a v k T a B K V I 4 1 w W M K t o c V q d W K r F c F P k 8 Q 3 u h u v H Z h B c V k 3 q I S F P 7 V W f O m B a E K U v a Q a R s B Y N + + H l w + s 2 F C r X l I b 5 c T Q U 1 H 8 O 7 1 6 V m i g r B Z F i f L 0 e i e B E p + o 2 i s Z L D Q 4 K n 6 T r L B c i Q 0 g v q s l / W h 6 M X f J l z i E A r U j S i Z 7 y Z Q v / E f f 7 1 1 / 3 1 3 4 U / + 5 6 8 j Q C t Q K B V t 9 a Q i B W r U H N L s 8 a i Y s 7 3 p p a y T o i o K O b 3 9 I Y / B o Q E y i x / P v P w 8 / B 4 X 4 g O 9 2 D 0 w S g e x v U / F 4 t x V l G h 6 e x N x B F n + c i q J 3 m i I T q Q H b n b E Q D w A X y T E 6 j q x c 3 I X s p k 8 r l x + D c F A 3 N 5 C r z m J J 1 5 7 y V 6 J m c 6 y n G e u s I 2 a + x F 8 I X O w c 2 Q v 6 j V q Y z W I Z d h 5 E a v N V j e S E W U 7 i W A a Z D C t J a 1 N x m s / 1 / Z 9 d I j I E j g b B u e n 6 n h D c 6 l j e C g P d Z H y s e f V U U w 3 C 5 Z 2 j m 3 5 / C y f 1 0 l X 7 X V o 1 7 c F T P d 0 x O h G D c l M / 1 + S y t T u P 4 1 K h T 6 Q F A V z 3 m 5 b 5 7 q S 1 V W l s e 3 B w Q S G R u J Y W C B c D x W x d 4 w + s F 4 3 R C G Q x c / m 6 8 j S N 1 m a S 9 E S x B H p 8 t F v J j M 3 v T Y M X q r R J r I Y W Z N Y o I Y 7 9 / s s H E x b F 8 e I d J b X 8 t g o K C r G B 7 3 E Q W + Q t B F X 1 i E S a v G e M N J 0 K 1 b X 6 6 w O U c / c J h U r U d N g k A g l Q 4 s X h o / l F s o N H l n m 4 c P K t S 2 U G h G L V l d b 4 i N R d P v y m J 2 v w R W g Y m Z + F r E h i E 6 k Y w t L R Q N X k 2 5 M G I W t N O u 8 r W S 3 a a 2 9 L w h r + J t C x F v V 5 0 r i A x u s 4 s k b S p D f h U r s 3 P a E u w Z C X H 3 D 3 l N X r l w m U 1 X p 7 A 1 S m L S z S 5 1 K v 0 6 B Z G U 1 K s T 7 t e + A X m M T 8 m k F a g 1 V M n I u l 7 G 1 U i 4 3 u 6 3 O 5 4 d 6 M d h F g r P C U 7 P X C c 8 y h G m 8 T o x + 4 f K c R X S P j g 1 a n N + 9 d z 7 K C n g J H S d w d W Y N t x 6 / H + d P X 8 D W 1 p q 9 d V A Y O s l O u L Y y j 0 2 9 z q a e w D M v T b P y Z A 6 a C d M U a h Q Z s j 3 q 5 j F 4 Z e e M a T r H t 5 L u t U 8 x H Y l V l z D x t 2 k i y 6 O d d L 3 D g G 3 G a x N X M E f a X 1 Z M w + k 2 R 8 X v J k w S v p s E T X n c X L q 2 v 3 J S y 2 p J h K 1 J 0 k W N S G 6 X 0 7 n 3 R i 0 6 + P 7 / b a J G c b A + 2 p D G i j D F 8 p 2 T w r b E L L V C D X n N P T B p W 7 i J X V R e 6 W X 4 + K R 2 4 K 2 Q I T e T K 7 j t + K 1 4 + f I S / e Q G 0 Y m m C 1 x Q 7 L F 4 R E n 5 V V j 2 c K Q K L x V I m B Z p b Z 0 8 E A 6 Y V d J b X T T A o P f 6 a u X B c F 8 3 4 v T N U 5 k c F i h M 1 2 Z b S G 4 V W G 8 H x n b F s L l U w e a a A 9 l 0 i 5 8 p Z N d T a N L q b s 2 l U U F X G 2 a z z H A 0 S i v Y Q D J V s r f 6 K 6 j W E w 5 b X J 5 b F p n K Q K i g 3 e 8 e V D R A Q a H R 1 I r 1 N Q 8 l j d r Z B j Y S M C k h n r 7 R L y y n r V T Z Y N 3 P 6 6 Y 8 9 b n t S 0 m J u 9 7 4 0 P 2 n H n 3 k T Z i l J d m 3 / x j m V q e o j c r W E X o P q 1 6 v H 6 I v p Q 3 p Q 0 E 3 K 5 0 i s d y Y X p w n B P P y u 8 u 2 b x J E L F H A Z q + u E G Y 0 c G B i A k P x b r z w 4 g z O n t 3 A 2 k o R M z O b b L B e 2 u z B g Q P H K J j A z P o i 3 k s 4 0 S L u v v 3 E v d R 4 d a y s L + P Z 0 6 + g h 7 5 V h j c N R n f h 8 W 9 e J f + x 8 i I Q G 9 4 G a f o u w W o 3 S N 3 a E Z o 2 K d r k M E 0 s Z 3 y b c I p d l P N v + 9 P Z G S Z d 2 z 5 0 7 s Z B Q t o n z + u F z I J n K q 2 j v Z R M 6 L b z l t a V o N l k I X + b n V T 9 C D 8 0 i K E q N b Q N A H P R e d 1 l B 2 / W F g E d u 9 o R z B s H 2 2 x F K C / + 1 l c x X v t T f 8 g M b I 8 m 2 K n F y N 1 t z c q T u v r t S T S 0 f 2 0 m s a F k 0 i T o F + M D q 0 t 5 d B O V a E d b v Z M 4 T z + 6 U X P B T + s y O 7 9 B P 6 v H N j 9 t 1 6 B d F 6 o S / m v Y A M D o Y A T l I j U 5 4 b p e f h C h 0 h X M 1 L 6 D m h S P k A c 0 / R I L + V A r U f g I 5 R f J H 9 k c n 5 E 1 p 9 U / f n g X p q Y z 8 I V D i N F K q h 2 a F K / l / X B 6 y Y + i B 9 0 D d i R d p D L 9 8 D 4 i p I D 5 8 R r C D m o d H x / z O A j b S Z v + s S C F v y h 3 i s 9 5 4 A l F T Q H S h 6 H B q N E K i q P Y R 5 3 2 S K h M g 7 Z T 2 w r p G p G F l L k N U r Q H l W y f P r v K a + / 6 0 N 0 t v c a / R k q K 0 S K K B l Z c l h i H F s r v p 8 R T s 6 p s R Q I 7 H Q E 6 / 2 v Q g j W n q w X F A W a 2 s t g s a C I 3 R m L 1 Y M f o G P 2 j N R s x + o d P v s Q 2 0 6 q x w k 4 C 6 3 e 9 5 y j c w t C s R F + k G 4 u b K x Y 1 o Y n j q f N z O H p 4 P 0 o k 0 r n L l x E J + O A P D u N T X z l L / G t s Y x D F h i 9 Z + T a j q a F K Z A w x 8 Y 0 t w j p d r W 9 i R v 4 W I / J T A v F t S e f Z Y c b E 3 y X p O Q m L a S n S S b / 1 X T 6 W T R o L n + u + 9 s 3 i Z h s p b M e u U Y B 5 j 7 C 8 k k W R 8 F k b I N h O G p S w z f a 1 q 4 6 d + N / U R + d V h u A c k 5 W 5 D T v c e s W P O p m I Q W F T 0 s R m D W 9 O q o f a Q i k W l K m z v z V 4 4 e n u I o L o x d z 8 O j y + B r 7 n z f s x P T u N b D b J Q t w I h A k D i 0 H M L u a Y Z 8 g Y S E l b A k i g 9 c 9 N q x X z b q K v 2 4 e i 9 l s k P 8 X C E U C r A n J b 6 E t 0 Y 3 L w C B 5 5 + G H 0 9 Q y p 1 T h 3 4 S z d j S F a S v I p a f J 7 f / g H G N z p w Q t n V 4 1 p 9 + x K I B K O 4 8 L V S y h t a d 6 T / C P 6 a / S t S p R R L s D T R U E j j a v 5 C j w K R a P i C Q Y 1 U F E h c v K z D l 6 s r 2 0 Q X Y R w 5 q U N 9 A / v Z 7 s W E U 1 E s L W Y t 7 6 0 j W J I G + t H + U 6 d / m Y d O p H l s m K I E n X V q N Q J J 0 V j F 1 G Y I j b 0 8 g p X 9 2 T g V H + k i x o i g 0 O 7 d 9 q y d p n n l Y 0 N O p A l Y x Y t g M t T 0 1 T 5 s F 5 5 L 9 O m e S R N B v p c I R Q I E 3 / r N / 4 I 3 / v Y B + 2 1 o f e e f A y 5 d A M b 6 1 t Y n K W Z Z h 2 8 z O O x x 4 6 h S k s 0 S q E r 5 i o k Z g C 7 a M m u L S 5 i f S O F / Z O 7 M R D r w X p h C 2 X 2 8 X I y i 6 8 / M 0 f 4 2 Y Z S E g U N + 1 r k M x u u D 3 K C / p i 2 v 9 k K K U m k O t b L B E o M a M I g 4 W s f Y l w 7 9 J x + d 4 5 2 t v z c z l / P s y E G N e 0 e 3 U 8 h 0 3 l + N e b n d R v 1 4 v 1 m o S T s c u q o P M S 8 g h 0 + w i O b 0 7 A C J M j K n Z 3 I 6 9 8 m 6 t b e d r m d 3 8 p T v z o Q R c / p U F 4 3 7 v M S h l L r C 8 6 0 a 8 6 / q t t N R x s E a n a f A k 9 m 0 S 8 R 0 0 V a d f f R n 9 n K g L g E / k A R x X Q S o W 7 F A L o w O j 5 G I d m k C P j 0 V k + M j 9 J X S l F Z O M l M z E V D 5 V K 0 u Q p 5 x k P Y R X / F 7 Q r Y H u g h D 3 1 W l t f I V O x F b f e e v J v K O o g 4 m f / j j 7 + I O 0 / c y R z q O H P p K v 7 t r / w U z p 5 + i b + T V N J e D M Y H 8 c w L l + H 1 d L E s N j H o p 1 v A L / S R m s 0 a l U g X 9 u 4 b R R f z 2 q R y 1 1 Z k T h 8 B X 8 t j 7 3 / O p 4 p U z O w L C T s h L F 1 / b N C H C k U i h K 9 l C g v 7 J 8 C 2 T / p J D w p O S e 1 R x 7 A / H O w r G S s W b O d o M T W S a q 8 I V d c S x t I Q U 9 + 0 Q 9 I c P / l v 3 t X q D S V s h 9 Y H 7 r g f b 3 j D O / F n f / I n 1 F B e v P c 9 7 0 M i H q d 1 K O E f P v V J v P N 7 3 4 1 E I o Z f + b c / j X L Z j V / 4 x X + F v / 3 E H + P K 1 B U 8 c O f 9 t j f E 3 j 2 7 k M k k z c e a n 1 v D k 0 9 f I d M 4 4 X U 0 c P u 9 O y m s e c S L A b z t A / 8 S 6 y t z 1 F p 5 7 D 1 w C J G Y F 3 / 9 R / + F z n E / r m + s I p b Y g Y 9 9 / G n p P G p c O X 5 t h h N T W 5 J 2 N 4 3 f / m 1 z Q K 9 L / 0 z D s 8 H t z z b z m T B 8 h + f s v A S n z W q W d M 4 i p n W N F G Z N r F 3 C 8 D a s L s v J a 9 r w R Z Z I 4 U h i W N t N i b j d R Z h s Y T p k L i 2 8 M 8 0 n A e Q z 3 y 1 Z W f y 0 W q i e K s v K / + f P q P u V F E h r I 4 j U l h b a x H P 2 f O c Z 5 W E f b e 3 b S e 2 6 s z 7 B E L q H e u j L Z A j x a 7 j 1 Y A K 5 Y p L W S b G e S Q z 2 9 K F F q / P 8 C 1 e R 4 G e + o K 1 J N d f H X B t t m i h 1 h 7 P Y O R g l U q G 1 6 k 1 g T / 8 Q r i z M 2 l s r y 0 Q z q l M g 7 M L q Z g 1 n F + k z k x b V Q l l 4 H A f 3 E C I 2 0 t R F T n v X 8 0 u v L C B b 8 F J R U Y D o h m i p h C x m U 8 P m o q N G 9 w R 1 m Z w B v 1 l 6 h Q F 5 N E f l U V y k B 2 P j p B t R m F 7 D l E q X U S 1 R O C n A D l c F s a 4 q e v t 5 b 5 3 Q l v n U 4 c X C 1 Q K c R T + a F d Z U I + C i s O A o L b r a K B + 6 r d C B v u E 4 8 0 z D Q y T m + O G f f l s r 5 q M J 8 7 S w v r V O x h 9 A s Z C j N a r a s H N P X 5 Q Y N o 4 V Q j M t 6 S h W y O L 1 o r 1 H y t 4 d F N L b H M 4 g 7 A 7 h 2 J F b 6 N S W s E b T q m U d m j 9 S T O D I W A J V O r J a U z K z N I s 3 3 n o 3 n r s 8 Y z P e Q 0 O 9 e J X w T t H u B 4 c G U f b 5 c G l x H V 9 / e o 4 m u M y O I v O y 4 q q 7 4 I G 9 Q l J M I W t h A t V O H c f w 9 c k E U Y y s 7 3 q F p j p e R O F H e 9 Z 7 W + v r Z p 3 c Z l p 9 2 k k J s A S G P 4 S d N e e k q C Y x d a d 0 C 0 / h L x s c E Z z d r q N 8 K f O b J M j b e T Q r 9 D 1 U h + 2 k s m 6 U 1 z 5 h d V Z q f / I a O 0 9 D + B q 5 s z r q 0 J W b 7 t X z + u 3 0 6 a 2 J o o 9 G E 2 n m O 0 V t P 6 P 7 l D r P 2 i f b a O 2 S E h F d C b V 3 H d x L v 3 o N J 2 7 p o o B u o k S N H O A 9 m q w f j M b t d a u b 1 O T x 0 A B e f Y 2 8 k X D w 6 M a l q + u W v 9 d V x k R v E L n s F n 2 z B u 6 c n M B s J k d / q o F u K p j l U h 5 Z C V E z h j O z Z M 6 6 f J E m / d Q i + h N p D P S N 4 d W L K e y d H K B w u v H k s z O o 5 U h b b a x C X 8 r e c U u h 0 o 5 O e u e V R v T 8 C d Y x Q n N C H p U A F L L k G P Z x M B z E 2 B 4 P X c s i f f 6 w D b C s z N H K N K I Y n q h j p I + C Y h b I i 3 K l D D d 9 U C n J a o V 1 z F M O N u t I L W k / R P a p B N g h i B x m K 6 v U z R o F p o I k T 4 m O r n 2 3 T p z q I s Z V M P 2 F 6 7 P 4 l z / 1 r / H q K x f J c 3 5 W J I r 7 7 n s j 3 v X O H 0 C E s H C w d x i P 3 P 8 w r l 0 7 R 3 N / G A 8 / / C i e O / s U j u 2 9 B x 5 v F I n Q C O L d 4 6 g V X T h + 5 F 7 8 w L t + B G c v v 4 L 8 V g 4 e l h C k h B M I 2 A u p P T T 3 i Y j H 9 u T T x N y + v j 5 E e q n R k p v 4 y r N X U a x S a 1 G j y F k 0 H t A f M b e E S B 2 / z R h t 3 S y h 6 P z + 5 8 k i w a V R y J T m U 8 i Z J S G k a c y y d Z h N n z q Y v / w e C 4 i V n G 4 P X u i v m F C x X v I 9 V I c O U 3 Y I y p M m U P q t z m y P / D F P y 0 t D 5 W 0 h 7 i Q 9 a 5 9 8 T H n p X + d c O / E 7 y z O r d B N 8 V d l 2 F z 8 7 S c 8 7 y Q w q V w J l a 3 k 6 + W 8 / 8 / q k O o s O 0 v R W v g 7 W P 0 P n X p t 0 L q w U M U r U U C 6 u s v 9 o O e i 3 a D G j 3 h Q S D X T h + T M U N u Z d p K u Q 2 t T + E g K 8 6 i r 2 L X 2 i f D 1 G X y Z M X 7 m B i y s S h h h y h Q Y S 3 V p K Q W v V E A / Q 0 p A A 1 X y G s t K y 0 U E 4 8 1 h e o l A O u u h 6 J J E s + h C J 9 6 B A l 8 J o Q j p p + + 1 d R 7 u x + 4 A P C z N E N V 0 x Q w f l t S 2 2 q Y K R H X G k c 1 J i N b o f D U Q o O M k N C n X Y h 2 C k i p 5 u 8 m J m m Y p V V o c S 4 C U k j M e w m a H L 0 a C w 0 M I d m N y B b t 7 X C C U J h y M 2 g J L P e i z / b X D U 5 g / R n n 3 s e N u H 7 m 1 F + W C 1 n I O T Q q N o l Z M n 7 s e L L 7 6 E W 4 / f h p d e f o 4 w 7 g j W l + e w t b W J 0 c S Q z V J f u z 6 D P Q c n 8 N q l l 0 m A C O q 5 G n o S 9 H 9 o 1 U J R J 2 b W l x F w h 5 F N b u H Y w V 1 0 O A l c a 0 5 q k A C y N W L z c g U h 0 r e n f 5 D 5 y Q / L I V S l j h j u x 2 / 9 8 V P W 9 4 r L E r i q K X x G i f 6 J O Y 3 b D n g 7 S a B I 4 m 8 7 1 0 5 q p P k J 7 A A T A G p Z F z G w L I e E Q 9 t c a W 8 + r c y 0 A p k k A D b / p E 8 J 1 v Z 5 J d t B l E n 4 W Q z a g W w S P o N 9 u k a B M c g n y 8 R k w k y c b T C B b a l q q Y P C W V 6 X O v B B s n c z c 5 u q Y B 6 2 4 Y n g I 8 u 0 8 9 u C o u + d p O c c h G F W L 6 K B m y H l z c 9 0 U q c N H e h n v 1 U u z 8 m K O 8 m g 1 P / m l 9 1 2 i x z x E k F X w + a N x t h v F + c 3 a U W y 8 L D N 7 V c G U T A 6 / a H w H 8 L 8 K u v u 1 0 a R m h R n W 9 x U q b R D G P B W s E p f y 4 U i 9 U + Y a I Q Q y 8 2 2 C U 2 w P s e P e P D y C 4 S a M T / e f H I A q W o D 0 3 N F z L 4 4 Y 3 u Z G H 3 o n x L 4 U c H x Y D l e 0 d w f R 4 2 W J U K I W q A S 8 N E n L 7 N s j R A P D j W R 3 q C V b R S w / 3 A C l e I S e b a f K E p B s 8 D M w q L R W 2 F K b v p a N f L U y O C 4 6 f B m v Y x S P m 1 K p O K q Y n H V g f l L 2 X b / k K z t T 1 q w A 8 f G T 2 m P s Q C J p N G T n n C Y / e 3 H + v o G x o f G b e u v n / 7 x X 0 L / Y D / W N g r 4 4 R / 8 Y d x 9 z 4 N 4 7 b V z + P A H f h R z 0 7 R m 9 R Y 8 I T q q L S e + + v X T e O j k Q U T 9 E f p Z V Q T o h E 8 v z 6 N 7 o B u X C e U i J N B o 3 x C 6 4 l 0 I E U o u Z T f g q L W Q z W S w m t 7 A 3 3 / p m k U O k y P Z L W Q Q E k m j R 2 0 V b n 0 l 7 t j + o q T v 2 9 p 6 O 3 W Y R 4 c x 3 D a D a v t o S h h q h L e / 8 / 7 3 4 Y m L Z 2 i M B A d p Y c R 8 v C w G 6 + S h p M 5 V e T f y F N O K w c l w n X u 8 h E J a R 2 N D r w q 9 Y X 6 W C y 2 L B N M X C J r z L y z e H t T 4 d s Z W 0 h m r b / u n J f 3 W B Z 2 V Y L 9 e m J S s T t t H u 4 2 8 R r q z x v / s v t c / 2 6 l / J 3 V + m / K h 8 F p L p J A I / + c X C t A e D 8 0 Q / R c y W h c R R l e 8 H 1 e v r V F o q C A o P A a 7 2 W b L w 1 l H L B g w R t S C w h O 3 H U d y b Z 3 K i 8 q G h C 4 o o J V V a d F n a b 9 M o W J K S S / w C / m 9 m B x 2 Y j 3 p J d 2 c 2 D X a h 9 n l d V q v A C 0 M r S D d A A 2 A O L U f h J u H f j M f I W 2 F u C m i p 1 y l n 0 Z f t V 5 t 2 b 4 R 2 p K g Q n / P R X 6 q 8 v 5 0 y k U 4 5 8 P q R g 2 h n j A C X T 5 a 0 z w q b J s C f j X i X U 7 T 9 a E V j H i D t v 6 u V K x h v Z J G g 3 6 e P 8 T 7 e i r o 8 9 H f z O a s v 1 0 U W t f O H X t O o a p t v 7 a o r Z u Y I L O f u 3 A G p W o O K + k F e A I e f P a L f 4 / X L j y H g Z E Q c r N X 8 N T z X y Y T V f D y 8 0 8 g T H w 6 z 8 K 6 o l G b r 7 h 8 b R E T Y 5 r V L m B t d Q N E d x g Y 6 j O U p l 1 R C / U C z l + f w t r m p k V Y X F + e x f z S M r x s R O / Q M F 6 5 T A H T k K 9 T k 7 t 1 6 B 1 C g s u k G g / r q x v M d y N t a 1 l j K D E D 0 8 3 M o h c u O 4 i z 7 7 n r d t x 3 Z C / e 8 e Z H M T 2 / g j s O H s H R 2 w 7 j l Q s X D O Z I 0 9 x I N + f P v K y 8 b c i l n O V v W K S F G s a k j e d 1 n m J p g q m n B b / 8 U W J t 8 p i U l c 2 Z s U O Z m z 1 z c + q c s b C m 1 y W 1 5 f X M / 2 3 t Z 7 L r P G R 9 7 c 7 / B 8 9 0 a K b z n U 8 l s 1 r 8 2 i Q y a B D i h a h k N Q y d T F a Q T 9 d o n R I Y 6 u 6 2 7 a O v z m 2 x P D a w 0 + j t l s R j X f S R q f 3 j c U K + E N J b K c S 7 u t D X 3 4 / V 1 b V 2 P 2 1 X R 8 P 2 E l Z K g w 3 g 3 L Z n h L B q C Q v L t F 4 t z V m 5 6 C t R r Z Y d y F Y a 5 B t t 3 6 w 3 + y u G U u W y 3 V T A + m 1 + j N p F g V C V h A u 0 2 5 Q 3 o l 2 x 3 C i k M / A R J d m A B O 2 v 3 m 6 y s t r E 7 E w G o Y i X C p f + k X a K V Z + R / 6 K B K B 4 4 + h A + 8 s G f w s V X r u K n 3 v v j G A j 2 4 b d / 9 b f x 2 c e / g C 9 / 7 E t 4 4 W t f x b E 9 u / G l z / 0 d H G 9 9 5 0 M U c m o i T x V D X T 3 G J B V a i J X N B R B a Q k u m N S j R T 0 d 0 N Z 3 E W H c / 2 1 1 H m c y x s r J I 3 y p G R m y Y h o k T 8 v 2 v v 3 0 G D 9 w 7 g a 1 s x t 5 J p M 0 v 6 N 1 h o 5 5 B 1 N M F f 6 C K g Z 6 d N M d a h l z B W j K F d c K g n b v 2 Y X 2 u h q m t E j V Z n p q e G p L a x X b R E V + Q 4 W 1 N y u u Y R H 6 J k i L B j b k 1 b M x 7 N H / R E Q A 5 r 7 G + b p R Y f 2 k v 7 V 6 q 1 5 a q r V V 2 Q N 3 d f u O d 6 m l h S N 8 l d e L 8 J O F a F u / l 7 6 r K 0 n w P h U d M I p g o 2 E R 3 G Q h 4 4 a H C 0 R B 2 l f R w U 5 g a m j e R S N 3 E 3 M b M 2 8 0 y + H D T t U 7 6 T o z / + u 9 K T v o f L T K o x K q z o L J z 7 f X 5 3 n h e m G Y 7 / b P y e c 0 V J s Q i r S Q 4 U m 7 x a B D F U g Y J Q v V m s I H J 6 A 6 c n Z p G b X v u x t W i A u O j g m T K z 4 C B e K Q h q h D 2 t g j l q T B V K u 0 8 q r S G H U U o Y d b h b h C K s y t 4 i b y p C e 8 a 6 v k i / F p c q r x 5 j 1 4 M q D d C v v j C C z a k v 3 P 3 L n z h Y / + A u x 5 9 m F b O j z / 4 9 X 8 H J / 2 + J v v b n 4 i h Q T Q E R w j R Q Q W B j 2 B 2 d t X K 7 C T t + D S y I 4 2 I r 5 d C r i k j W e c 6 F U c Z v f E + O M s U b l c G n k Y Q Z f J u T 0 + c N I h j Z n o d + V w F c 3 M 0 B o 9 + 8 H j L B x 8 y p S o O 7 9 q D 2 b l Z + F 0 B h G M + 2 7 k 1 G g i h L 9 h l 2 z U l q H V W 6 E d F q L E q J E q R P o i W s / u J Q Z O Z N e j 1 + y + 8 s s Z K 5 L D z l k E 0 C l X 8 6 A d / F l / + 3 G e x k C O E H N 2 B x x 5 6 C B / 7 m 4 / z G T d h Y Z T m K 4 r j Y 7 v w 5 V e + Q i Z 3 4 N O P X 4 T e D 6 X N J 9 k + g 3 6 2 4 M s Y n Y e Y Y 5 t B l A Q z 1 I m a X N Q y C Y 3 Q 1 C k s N p t N 0 o s 5 5 H A q N e T n 6 N n t 3 w q + N I d S e 0 b w m l 4 m o I G Q 7 5 a k D d s M K C 6 h F p e v x N 9 i B l u 1 q + v U j g Y b 5 W f x v J d Y 3 J h G m z Z q p 1 Z y 2 O u Z 1 h h 7 u 0 m d a z e Y f T v p d y d Z e d a + b 0 / G l A F p e t K D n F i n U r n 5 u U 7 q 5 H v j m j 4 6 3 0 m P m 3 0 4 B e 1 q 7 s d D 3 0 w 7 y I r G o C f l 8 7 a w a / 8 w x h x l O u r 0 S 5 w a o o 7 g 6 e c W 6 C X x W d 6 1 Y z y O 5 T n y A 3 l E b + l Q H A K h B 1 1 K 0 k 3 9 q f 9 W b t u X 0 3 Z m + q l y 6 0 X 6 3 G z D 4 M g E V p d X W C 5 1 F h V S X R H 6 G p 5 n G z S p y t o y j / b c q J L e E O 8 O + G w h o h Q L t F 1 a L N Z m H S r f F p X B k Y E g k t 4 A 1 m e T 9 k w n M V e E I z n 0 9 F b b 2 4 J R W I O k a U Z z V b S U v / b j / x G f / 8 p n 8 b M / 8 T M 4 9 V u n 8 D 9 / 9 7 9 i a X 4 V k 3 t 3 4 K 3 v f Q D L W 8 z h w z / 1 1 t b C a v u F Y j 3 d f W y s n 0 r e A T 8 L 1 w 6 f G g G c 2 l y H 3 k w X p N Q r Q l i v Y / R E f E g X a r Q 2 P a i V a 5 j e m L N X 1 Z Q L F T z 5 z f M 4 d N s 4 j h 0 + i A P 7 7 8 X o 8 B D + 8 X O P 4 6 1 v / V 4 c 2 r s L c 4 v L + P M / + x N 8 + M d / H M + 9 / L y t i / m b T / 4 J O 7 N I W D i J l 1 + 8 Z p q B V D e Y J I 1 u j n K n 4 6 0 T 2 o w h 7 a d B C r v O 5 A z 6 2 4 G h J L R t t y z m 4 a e b k M / G N v h s x w n X 5 o Q K 7 t S u u G 4 S W P f L 4 l k k 9 s 2 W q g P D Z M W Y n 0 Z E b W C E U i C I p 3 N K N y L V + V 3 h L Y I 6 i n C W H N f 0 F g n t p U 4 6 f k c m 7 5 y S g N 9 0 X f U 3 x n 4 d P P u O e f C a l 2 X W S r T w N 1 X f 6 M T n V T e j B 9 P N z 3 f y V v p O + X a S l l T o t T f K 4 + N / 9 k d w s 5 D 5 z T l s r a x S e G t 4 9 d V X c O y O o / j G m a 8 j F I x C m 0 c O K r a O k G 2 L / O X y J H B 5 6 j q W U 3 5 U p L y o D G 3 q g h I r v 0 Q b o W b T 6 2 i U t P z D h U g i j D z R k o 9 8 W L d g V v p w F G Z n U 3 6 T G k i B 4 r M U K X Z X l d Y o h G C I / b l F Y S R S 8 f g C 8 M b D 6 O 2 N Y G Z 2 H X p n N C u / T e z t P u 0 k K u Q G 6 6 v 3 T 4 3 s a q J U y M F d q W G Y E L X M f s + x n h q k k M K s 0 S X R S m M n e X Q w 1 k P + j e L L T 1 w H U u y f X / 7 5 9 7 R y h F e b K f o 0 1 N x e C t T i 8 i I S P d 0 Y j o R R Z G b y f b T H g + C S l / f U K F A 5 M R y v R b t 7 i H d T 8 J M h V 7 f W K O E B r C w n s b J W w u 3 3 7 s c X T y 9 h O M C G l 9 I U w D L u P X q Y y K q O P X v 2 k r A 5 J O n k F Q n 5 R m I D m N 2 a x q X r T q w u U L s I h m w L l K 1 L U u p A E 3 a 6 t L E 6 X w J k 2 p h 1 s t 8 8 L 9 h F L r n B H I a z x a j U s J 3 f N j I n Q V E x J L D e X M h M h U 0 I / e T v 8 F y H C f m M 5 a V 6 S D g 1 Y i U L K g b j f e 2 h c Q o X i W 4 M z / s 1 H y R G V V 0 U H d / Q y 7 1 I s + 9 k W Z R u F q h O 6 t T / 5 t R h / u 9 0 T c l D g a o X c 6 x D m / G l a N S O z v 3 f S a C U r K 4 3 S + H r k g Z a t P M T H z Q D 7 f a T F 8 h U R H F 8 T s P I N U x M D t L R p + B E P B j p 9 6 O X / K u 4 z + T W F g K k W d V D 2 E W t N r 9 S 4 F F i d 7 J e L N J F K 9 d o e O m + 8 J x 8 T A V 5 k l a 2 j Q E / H U E K E E 2 l / X Z o g 0 1 a M O 3 m 5 a x g 9 / 4 B z N P S N O i s a + 8 H r c z 1 0 r I 4 i Z o q t R a O 7 O / F m b O X 4 Q o M W B v b A t V u 0 8 2 J r c P I E C 2 U e x X N a o D 8 X S A b V D E 2 3 E + l T T p 6 X d h I 5 8 x S 5 t I + 5 D M U t i E i r F a S / p u s p A P T U 3 W 4 Q m P B U 9 q T T 6 t v F R A Y p m b d P T r B y p C R P A 4 + u I V E I m H W S R v q 1 0 o V C g 9 9 E P p M C x s Z K g n 6 P L k k f a k o Y V y C M u Z C g A R 4 6 p u n c W T v B A Y I E z e q Z d y 5 a z f 2 T u 6 g Q L b s J c O a g H 7 q l V e B U h G 9 X T F 7 8 2 G d l m J m k W V U 2 v 6 Q 2 i 3 m b / c 9 m 2 z M Q G F i P Y 0 x + d t W z r J e E i B L Y g o x k t F N g k I N x m s S Q L M m S r x u e Q k m M H P F h I k g g n 0 6 t C + e d k M 1 I e Q 9 N y a N V R E e t t 2 U f f K c d V K 7 j v Z T e T I P v b 7 f 7 u F 1 v a B O A y y m j e 2 h f 5 5 u n P 0 u 1 z u p I x D f 7 S 6 X l h 9 Q A e o O u 9 f q + a 2 7 v 9 N 3 / R V D s R X 2 + z s l m w c z e v C H P u s O 1 E i H J h W w X o 8 p o 5 7 a K q B A f 6 O Y q 9 O / L m J 5 s 4 V r 1 9 e R T L M v A z F c m Z 3 G e P 8 Q / X P C / x H y W i C M 7 i 7 5 e w 6 M 9 k c x P B p A 3 w j d C 4 U I D Y U I p X o J H 8 W H s P m h 3 r 4 Q 4 l 1 B R A J 6 4 0 s R j / / k / 4 G P f / M J h B J x 5 M o K E W K 9 6 D P Z G j a 2 W + v z F g j J 3 O F B a 4 P 4 4 K b m M 7 V b 3 v 6 m f f I J Z m s J z K 5 V U M l H 8 f Y 7 T y D h a m I t l 0 O O J K 2 1 C B 8 d A 1 h f d L A 7 3 c h l W 0 h t e j E x E U Y p k 0 N X N x X L r / z K D 7 b W K T S C M B V q 0 V 1 D o 5 h b W 0 G 4 K 4 F Y M I x c n q a 2 S E x J Z t A b y 6 9 P T 5 k W q V L g a s T C / k o T B W q U U t 2 L C 1 e n c O z o H n Q F v S Z s Q y E / A m E f l l J b N N s R b K W 3 c O u + S Z y 7 e h 3 r p T p 8 I S / C 5 M 1 R 7 X p j z q c D 1 z a r + P r X 5 6 m N y I D y i U g c 8 b b S j S 2 x O p a K K e z 1 U C a L 9 I + 0 I I 2 a g s 6 k 9 p / T G w S b V Q o a r Q r F j g x N z U d l Y Y n 3 K g d j K F 6 X t t b C S Z p g X u I n n W C 9 q U K 0 N q 0 t a 2 U a c 9 s C s U K a 1 R d j a c F b j b 6 k 9 p 1 Q P h p V 0 o a S n e D K t k V i G Y J 7 / P 1 6 y 9 B J s l D K W / D W f q s c 1 Y u f d p 7 1 6 J y j X r d 7 p C B 0 T s n u l Y V V u Z U i B b n t J 3 Y s 1 M 3 5 K a + O R d J v l d 2 p V + c e U 0 j b e S t 1 r i v Z M z w 0 Y G X W P R C U m b F a C Q k r t f O n d W Y Z G n n U H n h t g e V 9 V Z Z L n v H S P 3 d 7 U h j b N Y G t 1 S U k s 7 x G C N d y h p m / 9 i z R U n r 6 6 m X W g 8 z s d G n 4 m 3 n 4 K r h t 5 z C q 4 Q L S i w U s p 2 t o V N l v t H h S d n o R Q N O z r U T V F m t T p z 3 f a t O 2 m i Q 9 t + v L R g v 2 6 8 0 u d e b l a l X w z n s m c X V h C i F t C U H F e P F 6 m Z C z H S V R p X u j d P u B U a y 6 r 8 B d Y l v 7 d s V P j f c M 2 I j Q e i Z J v 8 K H v q 4 e + l A u V A l r G h Q c d 5 g w g g T R K 1 D E R H m e V 6 F e V i B C a B h o 0 O f q T d g q 2 U Q 0 Z h H A E V / 7 L Y N a 9 T v U P U A L 5 s V y l v 4 E 7 9 2 9 5 y A 1 2 D L 9 r w g m 4 3 1 Y 2 F y F z 0 f h b d b Q F X f g z B V a P o W i k E k V Y m T U Y N r + a C f + k M 9 S p + 3 3 R 7 s s 2 t t O s 0 P 1 m p I m h S J A x m 4 U C C M k U r Q c I q A R d Z v B j C l o f d p L L X i e h D e m I H P o 1 S X a A k D k l i D f C H n S 8 7 y p / a w E j g L r o 7 N O w V G n a L i W J 2 2 Q o s O E q r Y N n i i P 7 5 J u N O 3 G l 3 Y Z S j e Y X P n Z 0 c 7 n Z i i n p N + 8 k f I r w d + + x t 9 6 t v P 8 t + W 1 n X j V P j v X L N 1 U j + + W O s L v Z n 8 3 9 E o Z P i u F o n 4 R j f W m S V k N U 0 p k U C e Z X b 6 x m y 5 G g 5 K n F y R U S z 4 L a M 0 X g 2 w W F a g / j O O H f D i x q 5 9 8 U U O m 7 m N V 2 J 9 S F M x z b K I X 9 0 8 6 c P 8 D b 8 Q t w 3 f g 0 u w y B Z F 1 C E Q J d 3 2 E e j 5 T j G 2 F w n 4 2 k q i F 7 d 8 3 t + s X / s W / Q D a Z x K H d e z A 2 O I h 9 u 3 Z C K v e h + + / D 8 Y P 7 c e f t d + M f P v 8 U F k t u r K R d W N 9 g 3 W k Y p G 2 0 u Y 3 e l 6 W 0 s r G F / / q e f 4 l n Z 8 / A 8 Y E f f a i V z + U x 0 N d H K J b C U F e 3 b d e U K 2 S x R g f R 5 f Y j 4 o + 1 n X 9 y W S q T R o X O 2 o E d u 3 l P n k L U h d n 5 O e J j D 4 q p F A U n h E R X H M l U G r G Y d k u l c 6 c 5 B h L f 5 + n C p 7 / w N T z 0 p p M o l d P 2 2 s i e R M x e P x r y R 1 h u C M s 5 l r t e w t n X U q h q g n K 7 M z o M c D M j K H W i F 2 5 Y L a l W W k a / h x a L U F b v / 1 U e H W b R Q R F q M 4 6 Y X C N P J g i y K t L w Z A l a P Q 1 i a C R K W q 5 C h 1 i d p F E n B Z 5 2 + k T D q n p E L 2 p T / i Z Q P K / r m n B U 0 k S u t u / V a 3 M 0 A f n d k / T k t 5 L V j 6 l T 7 x v t 1 u d 2 O 2 6 m h Q x m i 5 r Z r I 2 G n E k H E z i 2 v S N 4 n W c 6 n + 3 a t s u w T / 1 h s a S O K Q X B P D G k k m 4 x X 1 R J J / l d 2 y N Y R M i 2 W b L 5 H z 4 n q 2 w b 9 y s v i x J h e a S n 6 K r l G V 4 + q 3 C g e g d 6 M K l O t p M r B V D t i 3 c 5 M D 4 2 j t c u r 1 i + d f a v n / 7 t Q 3 f f g t O v v U g h o v / G 9 l q 4 j 3 x j Z q V Q K 3 1 a P 7 C M t q J s p 7 a q b C e V Z Z 9 U h j b S y 5 / q a y 3 9 c b t D b L q C b 9 V E P s W 8 l H Y d P I D l + S V U G l W c n O h H T 7 z X I m A + + e k v I O L R I k f y b 5 y Q 8 O 6 T t 5 4 K B y O 2 y X + I f l R / m P 4 S h W J 5 Y 5 0 a h s x F S y W r J T b U e p G A N 4 C B / k G s p 5 K s o g N T F K a y N D j b M j k 8 g g C x c j q n F / v W 7 H k z v 3 T 4 8 / k S H d Z N T F 1 Z x b E j u 2 h R F M T S Q i h A q x b p o o P r w m T / C I o K t y + t I p t y 8 h n i Q H K s D S J 0 i L D 9 2 U k S K G M Y d S A P 2 2 1 H 9 1 A Y N c N / w 3 I w j 0 6 y 7 b + 2 G c 0 4 h Z 8 K w h U R l b v m o r T C V o x j R K W j q 2 z F Z P q w O v C 8 V n f K 6 P A 0 G U e R I i x f b M p P g 4 7 8 b n n x r L 0 t T 3 X 8 r u l / d 6 2 d V G 7 n 6 C T 7 r S 9 s h i u s o W 2 W T 9 p a y N P 2 9 U 7 q f L / x e f N 3 f o p O 1 B z w a C 6 L 1 k I i J 7 i q a 7 r N f E d 9 1 1 w f y 5 H v Z H s + i I S C V 2 Q C 5 W b M T E W s 1 b F S d P a b l q l V o K A b Y i D z 0 o X Q + J y W d N h 8 F Z l b S 3 w U E a 6 I k 2 r L h 4 2 U 5 q e 0 x I Q w j J b n l v 0 7 8 Y 2 n X 0 b T 3 Y W e g W H 6 O 8 y T 5 d X p h 6 t + W l N n j L g t W N Y y / l H 5 1 t e v T + p f f q j / 2 m 0 U z Z Q n 8 9 H t v C 5 k I U p 4 W k n 6 T K w 7 a b u w s E p X q I B X z l 2 0 N m o n r x x 9 x 0 y + C u e u 0 a P o 7 d 6 H / X v u x c / / 1 L 9 D Z G g v N v J 1 7 B 6 b R H Y t g 4 m h C e J T N p C M G w z R 3 L F g r Q z V U u k S M 9 c b B R P B O O I U J L 2 A L V 8 o k E g h D N s 7 d w t I 0 k J p 7 7 Q A G 9 s 3 N G R v D l / f 2 M T e s Q n 0 h q M W / 6 c V v 3 s G J 3 B 9 c R 5 3 H r 4 X P / l D / 0 a s S C h Z Q Y L Q c V d 3 F H / z k Z 9 T 0 3 m o r W J b E k B E I + O 2 a A E c N K E S A n d E s 2 q a u 5 K Q i 9 n Y 0 R I E E Y z 3 i 4 D S X I K A 1 t k m N F I X F G + 2 0 Y j P o 6 F F g O x o X Z E L 5 m b n G Y s y L 8 2 d e A g r l W d n Z E / n 1 Q d m w d h 5 D S q Z J h n O x U L r u m c b g n z 3 4 5 + n d i c b W 9 z 4 t D 2 / m V T P T r I 6 k / E 0 X 2 c Q V v 9 Y r l s M y m t 2 / a a 8 1 G 6 j I e s p G 8 1 K t k / L 2 m j 7 g 2 K O i o D K j J b H 6 f L y D g m S 2 3 x Z P a n t u Q T r b U 0 Z 8 1 L b r B y 1 l X n q b Y A a p d U O U d r G T Z P e m g / S 9 m R 6 F 5 N g o e X D 0 j X c 3 t T c H + + v V U g z 9 Q l J X s s V 7 G 3 0 d Q q g i + X W 6 a + 8 d n k O g V C C T x F W U m H c e + I 4 k d I O 7 N m 5 C w H y w U F C t w f u P k n Y p r a 2 c O / J H X j 4 + A B b V s a + n R F M D N B n Y 1 P 0 D i 7 9 l R u j 5 R w u C r N W s S l 0 + 0 Z / i L 6 i G 2 v p q L t w 6 5 5 u J M K y x C 7 U + N z M 0 g Z K F H T J w S a F K U / i F O u k 1 M P 3 7 T + 1 u r X E 9 r b w y g s v Y H F l A Q v p R V S L Z N I G L U u x i g r x R K G e p Q Q W U C g V U C a z + a m l t J u n h 2 Z Y 3 b K Z T l k c V I R C k t n M I J t N w x / x o 4 / W L J / N I k h C n p u a w / x s C m 9 + 4 5 2 2 / Z g 4 v M q O E c N P D o 5 i Z W H R F h Z e u 3 6 V 5 n 4 f r k w v Y n B g A B O T u / H b n / k r E g k Y G x t j / m k j q E f U Y Z k O Q k q 9 7 8 g T C d L / C 9 l 6 F z p / J i z 2 k H q I y d i G v 8 1 R Z W e b 1 e k w m Z K + i 0 l 0 D 5 / R s o A G t W q z n C d Z N V R P Z q A m F h S S I I m J J F w 2 B M / H O 4 z b h j v t f A 2 y C l r o j v + t h d I j N z H 9 T U m M 3 7 Y e Q p 0 k E J P u 6 0 w d t L + z F 0 y 5 0 B L y H t X X V u 7 e Z K l 0 b / s H / / N Z v W C h X V V d 4 y f / G E 3 s F n o d t B 6 8 y O p L 0 N o X r E y 1 i U m 5 i R 7 2 k D S 5 Z d a u q 7 Y o k y V T L K C g l U 1 o q 5 D t v l D q 1 O d G v W 5 O 5 C 0 9 0 + k r k w S f 6 k N y 8 i N H P p x b W s I G + S 5 J h S 2 q r F B R T y 8 s 2 G S 7 6 r s 8 n 8 b K 2 h a o 4 m 1 i / a 1 3 D K G r h z z r L K M r E Y C T v O e l 8 m 2 4 y l Q W U p D i m b a w s 9 L t s t g e j 6 u A A x M h R G I e L K U o d u t J 8 + k 6 W 2 k T L 7 a V E Q / X x L 7 e U 5 n M F q r 0 Y 3 w B v Q + 2 g G A 4 j D I z n O j r Z 0 E 1 r J d X a W 3 q y J S z y N X L t h O O k 8 w 1 v 7 q F d D a H e K I X P j q E y 6 s r y N W 0 O t J B G O f D / P o q s a b 2 z F 6 3 V y 9 m S h t Y n c / Q X H u Q r J S o z b w I k + C B a B j X F 2 b g 1 + t b F i 6 S I F l 8 / v F X U K g 4 6 I t l M T U 3 R 8 1 L + F C u I 0 v N 9 c K v / T L u e / 9 b 4 A + 5 c J Q a 6 t 6 7 7 8 D B P a O 4 + 8 h R a q w + n D x + D C u L c y h I G E g V M Z e S d Q y T V I B O b f P I t x J P 2 A u O S U T N a W j f d l k c P S F d R e V J + R V z 8 Z S g l X S l W Q G F y 2 y X o W v G I N K j / C v r x O / y D z q z + d 8 t 3 S x M N 3 / v J L G i B F O 5 t 6 2 L L B L r r E L J 2 K q z l t J a R 1 t Z b S b u 5 N X 5 3 h F O v Y l e Q i C e U P t s G y z + U y O U p a 4 p h s 8 t R 5 / P K m D U L I 9 K Z v v N b 2 N Z E r K 2 M K k e z E M C R b h t + y 1 o Z J Y 0 s B X E P K z e 2 w L Z F u Q 2 3 T q J Z L J + c v q C Z s 1 Y k A m T v S i a b d J 1 I 4 C + q 6 4 8 C E T M I k u t t c + w S E L 4 P Q M N P H r 3 O M a 7 a u i N 0 d 8 l P B s I B T A 2 0 o 2 Q I 4 9 R 8 u F g n A j G F 0 I 6 L e u k e v G 3 Q L p G t y w 5 4 K f A H R i K 0 w 1 Z w z K V d b 2 o k W E N k l D 0 W B e j P y 2 U + M C 1 8 9 a x U 1 q L H 9 E k L i 2 P Z r B 9 b M j S 6 h K 0 / V U f Y V 4 i 0 I 2 F f B I 7 6 O M M R L v J Z E 1 k C 3 l U q m W U m E m K w j g Y 7 6 b W K K L I 8 x r g S K V y G B 8 + i J / 8 8 K / h g f v f i B 0 j + / D m + 9 5 P p i z j + x 7 7 E f p W H r o 5 a U W i I B S L s L J b t j + F t G u V U P H q t S y q m o A Q o 4 r w / G f D o G z i n z / 1 J D 7 z + S d w 5 t J l n L k 8 j Z f O X s D 1 5 S U s z 1 3 E 5 I A X n / 3 6 V 7 C 4 l K N J Z 0 e w f t / W a e p 0 M Z S o f l M y j K 1 r 1 m N O W x 6 t 5 6 S d d a u y 0 D 3 2 d g v d p j r x W m c o X c / o p k 4 + i q B u 0 v e y S 7 p f e b y + 0 N e l D u P f n G 4 + Z 5 u / 8 L P T G v M F l S u Z 2 6 E 1 X j Z V U D K + 6 O y t r m R 1 J R N b 3 Z g 6 9 B B 0 V / v a P 8 m M / C 2 B s e v b 5 e p Z / d P 0 g F l l 5 i N o Z 1 Z I y o b 3 W r g X B c g f D F h s o x Y L q l 5 K 8 o 3 a 6 7 J Y x 5 v a 8 p 3 a q m S D X x J W w U b e Y m U T K e i 1 p o L q e s z C x H i v c Q X L 0 + t A 2 6 N 4 u q h y e c V R x R 3 H h p A g H f T 6 J W 0 j p o G D L W 0 4 w 3 8 R n x 9 B 8 v 3 p 6 R x m F 4 o U S o m j v H r S 1 N r c F n r l F Q / V M E m B i n r p o 4 b j W F x M s X 9 J D 9 3 N S r a 3 v u a t b K v r 4 C 0 7 T t W J i V P Z L R u x E Y y r 0 h d S t L i I M d T b S x 6 v o p i u 4 B f + z W 9 i 1 8 h e E j 6 E W 4 / c i 7 e + 9 f u Q T m b w n n f 9 A D 7 z p c 9 g b G i Y F Q 3 Y C N / Q x E 6 s p z f w z e e / g E s X X s b i 7 C U s L b + K p U w Z z 7 z w O E 5 f f h 7 3 3 / 0 A K z e H i k w 2 O 0 o 7 5 m h H U b 3 2 Z X q 5 h G p N A U S s a b v H r d K 2 o y s 7 V 5 3 q a R L f a 4 N 4 d u S J W 3 u p C N c Q i w d Q o F J b X 9 J 2 z G 0 4 e o N B O p 3 4 u s 5 t M 8 f 2 a K E 0 L X 9 r t t 1 8 K Q q 4 C R X P 6 R k b 5 G C H t v O S A K l b l V i W 4 F C n r m a Z V F + d E 9 O q D m 2 G / m 7 p u z G Z k p X N u t h w O H 8 b I 5 E O G i Z W r J 2 I o 3 C n J q G Q k h m B 7 X Z b v v z e g Y i d T / M t d f M 2 P T r 3 W e J 3 o 8 v 2 P W 3 F s V 2 2 / l k B 7 W f 0 x n 9 N s G v P E T f 5 R 5 t L t m P 0 l N q f N 1 t n K + e 7 J M m D k / 6 2 v e x A 1 e G 9 U r 7 q E 5 Z m / 1 Q 3 5 a r e l W X a N Z Z A N p 9 i T w t + s h x n A 3 c d 6 8 N Y F 5 F Q K m O I S / G F 2 h d Q I 9 P h S A h B 0 k s B z m d m a S i I c t a T W 8 q Z i b T h I U W s a k o J H j 8 4 g F q r h D B 5 e 7 O Q I X p L o G J L N l i i B j L o 5 9 t O t 1 R G r q G J 2 C m f z D Q Z x U d f J F s u m X k d G h r C W j 6 D h I d S S e K E 4 l H s m z y E Z 1 5 + C Y l g B D M z M z h + 7 F b M T E / T 9 1 l B y F l H v l L A K n F s z 8 A g G t k i j u / Z i 6 2 t L V x f n 8 f 0 0 i I 0 H T b a E 0 W i u 8 u I 9 e L z L 6 E n o T e P x x A i 0 Q K h I O b W F 1 k / N 8 b H d + P S 5 S W D S m K W N g H b 3 U M y 8 o c E S 5 r M j 4 C n j j f e s Q v O e h H J W g n l c g W r K 0 L C Y h o 9 x D + k z g 2 m 6 X y q 0 / n Z Z v b 2 e R X i C Y Q s Z s 2 i y G s V k o 0 n V S 4 7 V c k I Z 0 I t I W p r R g m W r S 7 m L 0 E 9 l S 0 f R n l 3 o I r u / 9 8 l 1 c n q 8 t 0 S r 5 s A S 5 t q k p p C r 5 e y C a q p Y G n w p u a D e I 9 g n x R C Z 1 i 4 k 7 e O G 3 R g O 8 S U G p a W H p F 1 0 m m 7 1 1 o i h a A L e m 5 b M e m 8 n t c z Y n I e 2 h P f f E k p O W p u 2 0 V J G V q S f 0 d a s a + s / e o Q j a i K 8 Z n X t w R N 9 y t / f l I o R X M J p 3 b S t d 2 N V K Y O / r P v z G O 8 D 7 j 9 M H m t t o Z 3 P 3 Q 7 E c s M c 6 B S 4 T 2 3 7 o 1 i b S N p i r o r E b U 1 a x K C S C x q y E J b P G z k g z g z k 8 X 6 2 i b L p W / F 9 r N B q g z L a F N A 5 f V E t Z t y G b l y D q 5 G D v t H 6 M c j T d r H C P + q k n U 2 h 2 3 U c v x j t 0 6 e 0 n B j P N p l u 3 q O D I 5 g Z m X F 4 v m 0 w + l g r B s 1 O o N a + H X m 1 R d w f Z q W Z v 4 6 6 u 4 K / u z v / g z Z Y h o b m 7 M U s i h S p R w 8 x K g K 3 d l c 2 8 B S c g W r m R Q m h g Z R r 9 Q x l V 5 H x O V H l R W f m V / D 6 F A 3 r W E B 3 V 1 R 5 u / E 2 u Y a h n o o / e U q Z m i G V z c K J A 6 J L u 2 7 T V B r r B h G u J p a w e e u 4 u i u E B v t w 3 D f O I r M O 0 t r q 9 e j 2 P Q I O 9 r 2 3 z N m I I G 2 8 7 B 0 8 3 d R R b 9 5 K F h X U R o + M m O N M F Z k V T J G E 0 P w M P 3 M f K X l 5 b w r 8 l y O q X U + m V n m v 8 0 A T L z H m P n m 8 v 5 f p E 6 d r X x r B / N V m 9 g + B f f a d e W v a 2 Q U K 9 S E Q / d p O L v d 9 p t T W z n I H 2 S 9 z Y K q R b q P + d g g A r / z U w 6 3 6 i / B k p J o D w j y H p 7 X x p Y a V l a o j 0 Z Z T e g I 9 y x I 2 P L 6 V p 3 N v s j f U n b a k 4 E + i q q t v C S I P G v 1 N m h I i E e G s M P L 7 5 a H 8 t o + p L K i 3 f X / X 2 f f H h z X d Z / 3 L R a 7 2 P c u d g E s 3 i A I v k W K 1 M O W b M m y Z c u W r C S K 4 8 R u n K a x E z + S T J J x Y r d O J 2 n H 7 E w n a d J O p / 2 j a T J t Z 9 q Z p k 1 j t 5 l O 0 j w U 2 b F l W / F D s k h K I k W C J A j i D e x i 3 + 9 d b L / v d + 8 F I V r 2 p D 3 k x d 5 7 7 n n 8 z v m 9 z z 0 P P H 7 P L H q N H G k v h U x w E C M T G U x n / B i Z T m M 8 k 8 F E K k p B H U a I Z d r 6 O 1 a h K X K a h S 5 3 x R + O 4 O r S D n 1 5 M g P L 1 M i w 6 t f 0 M b V B d c k Y m U w N k k Y j f N b U v B R N x w G M x g Z Q q H Z Q K j Q d o N j P M v / 8 P / r 0 o + d j o T A i o S h a j R a d s w I i 4 S E k t T C O D K U J h t o a q k T V m c 8 3 6 d / 4 c e r U w 0 i n Z / G h p z 6 C V H g U 9 5 9 + O 3 a X L m K p o G 2 f R s 0 0 0 Y y B a o O E 1 + 6 T 0 M c R p 1 l W L F P 9 0 o 6 N s v E L c 0 f Q r J e o D Q f Q 7 D S x v r m J K e a t l c o o 1 p v 4 y n d W K F 0 k 6 9 k w V 0 N p u 6 Z g P G V r n 8 K h A Y y l g n j 7 g 9 O M d / Z N C 1 L K V H p N 5 H d a N P k o Q Y g 8 E Y G D W j c Y c l m q C M a w x P K F W f l b Q j u l o o 0 S M Z G + n Z B W H M a R / 8 A 8 M p f 0 Q c / M O x E I C d N s e x V t 5 Z N Q S G x W p h u M W L 1 H N + 3 B 9 z 8 o e A Q p u H V v + V y C J 1 T s 6 y b r Z x s H a S Z p x m i X x E q N 4 d d 2 v x r I 0 c g B U 3 r a V c F M O T G 9 i N d M U s H i 3 J P r 7 V f a V o S l 0 S w N N O g D p y 7 W z K R M p 3 f u x Q z M 7 5 S h o r z B H w W v n f q r Y X S b 9 M y e s j m P F i v c O r + G Z w 2 t B 4 Y o p A L Q e j U m 5 D v + 8 J 3 w o x A e q O O Z d 8 7 T B 9 J 4 B 8 1 M w j q c y Z K J R l h G B x M k 3 R H S 7 H h 6 l N q r j x L N t E 6 r Q U 2 V Y V M C p k G F R 1 I e 0 l E f 6 a + H O m n V 0 5 a i m J 6 + j f F e 6 5 b f c / 8 c F Y J j S q / u r N I l o T 8 2 F M D a b h O l E l 0 F 9 a F o h G 3 w P / T g q f N 8 Y h 8 N 2 B d / 6 2 w y U t Q f p B R I s 8 N E O D 2 E 2 K n h M F X f U A / F 0 i p 5 t Y p r N y 4 g V 1 j G q 4 s v Y Z c A z V O 7 t d v e p M c k x r P D 7 A m p 1 z 3 E t c S e v 9 V a A 7 W 9 N l r 9 J q 6 s L y M T j d N k 0 3 m v L e x u b 7 P / B v G N S w W a j z R n S D g e I e g I l n A 0 i o V j U 3 j r v R E c X 4 g g m 9 7 D V m E D b 7 / / Q e T W N u j 3 t X H m z H 3 4 0 y 9 d t W 9 i k i g 2 c G A l u E E I N m L U v S 6 2 X X X w 1 0 d N P O Q e Q a q 9 J r r V K g m I + V 1 + E H G Y t H c 7 X o R t / c U 4 x a s e k Y e I x o v X P x v t I g K 9 j 6 3 G I G 7 w m O T g d T A c j N / P 5 6 Y x 0 5 P 1 S E v q F A q r 2 9 1 i i x K A K Q i D t B D f e P B 4 v 3 y h / 2 8 I V r c I X v W 5 d d m R m H f B 6 z 1 7 c P 2 g 4 L 3 3 a / Z 9 W D s y K U 4 a T f E s S 2 W 4 6 V S q X 9 Y K B Z b a Z c z k M p Q D c A P 3 n J i k F d I l s 0 T g 7 7 Z t + p u 2 i p Y m q z f K W N v I U + g G M D W a x c 7 6 J p q k N e / A h H j C m c G j P t B 5 Z j 4 K n m C g h 3 i w i S N z 4 7 i 9 u U P c 6 Y M 0 G Y 4 8 o d F D a a r Z R B 0 6 C l e D L l k y 7 a B 4 g / S Y a 5 C h K o M 2 9 i B B Y t 8 3 z 5 6 b P 6 9 d c r R U O 0 K b X N N G N J q k b X m 3 d 3 M 0 A 1 N 0 5 o K o t W v k 5 B b C 7 J j h e J y M V O C 9 3 + I r 1 T 6 2 d m t o N 7 t 4 4 N w 7 s b t T p W 8 0 h 2 A 3 h F / 4 1 K 9 h O D a O F 1 / + l q l U D V 3 K p F q n S R k k 4 i c n J m 0 / P 7 5 A d y i O Z 7 9 V Q q m u r i V x E E r t V O S X x K L k U q c / e i a G w U r J 9 l k X k 2 Y z 4 z Z J s U 3 T b D 2 3 a 3 t b 3 N 4 s o 5 7 T x F h K a 3 K D I 8 1 1 k b B Y B g u 0 J w t 6 V h D h y I w U s 5 B R t E G M L Y J T L q a R q W f L y 6 W y d E 9 4 V a 4 9 G / I l 3 f l f E l N l K o / V y 1 t J V 7 6 3 j 8 f G n d I G d 4 j R 0 h 2 4 / 3 7 B S 6 P g 3 M t M Y T m U u h q Y s L 3 x S F w a r 3 K + w S m d U 5 c N Q L j 5 7 V e 3 b l 1 6 f s M 7 B h U l Y r d e O / D + / y X s l 8 V 6 7 F s W m b 5 P u 2 u A P n g / G D L m 1 T x I m 6 Y l o U 7 r B Y Z v + a W M o n 0 p X u j 5 Q o i S m Z 5 8 1 x m s r C z h m Y e O G w 7 i N O e 0 F m l s Z N i m q c l 1 i y Q k T L T j c B S N l u I 6 C A h X 2 o y H b U k l k x S W H b o T e e h 8 Y S n 1 j D 4 D k Y 7 T 6 S B O L s x i L Z d H i 7 A P 9 H z I h L o 4 c z T J Z 8 d c r L N j K q T 9 B M 3 F C E 3 F l X I V 9 a b 0 m P q Z Z t 8 7 H j p + v k y V W C O B J p J s K B u u b Z R a v Q 5 i 2 i i e D n 6 N 6 r L W b i B D P 0 n S t 1 A q I U 3 A t I Z o f b 1 o w 6 a z k y M 4 d n Q O l 6 + / j N 3 K O q 4 v X 8 G t y g b W X 7 m A 6 9 c v o 1 g r 0 p b t Y 0 w H U j N 9 q V o S e S F G I F v + N J 7 / x h q u X i / S H j + A O B E o H / f 6 X R u R i Q S 7 e O x Y m t E k J D q r E 9 l x s N d o R z e R H Z 2 l A u + g 2 B j A p R c u Q 1 + I 5 a w H y I g y 1 / Q N x a 9 T K d i e g G h f 9 j 4 7 Q E 6 1 Q 9 A k Q A b N 4 f N T W 8 o s M I 2 i 0 T + m 0 V o w D T K I q Y R M G 4 I m s v Z X / Q p c a Q z e a b q R R 8 B W v g p W s 3 h 5 d e 0 T q T 0 7 b T b m d O / v D k r j M Z v u J W V V o D S g f E n N c N 8 T z M Q b 3 z p 1 3 h W U R 6 a O L Y 1 x 6 1 Z 9 X v 0 W G G d m r U q 2 9 0 6 / H A x e e v 0 e v D 8 Y v G e n v U 6 6 Q R I 5 O 0 + T M U y 7 2 u 5 R N F V 9 Q U e Q i b k 0 V c 1 m g 7 h m g c i B o h Z P P Z x B N N D E s W N n 0 N C W z s l h N M k w g k 8 + o I S 9 J n h P j G d t T d 8 u X R d N x C 1 3 G h h P D Z t w r O Q 2 S S G D z N d C J j 2 C x e U l N O o 1 0 g P 7 h H k H t b t t q 4 x h W m H b + Q p r H c T H f u y d 2 L x 9 0 5 Y w a Y + N I I V C m H D r i C V Z R / G x N N a 3 G i Y 0 b d b F U + 8 5 e z 6 Z S a L T a x P g I A 7 P H U a t X k U q m i B g 2 n K J j M U G 9 q l 9 Z J Z l 0 g k z 0 5 o k t C W q 1 L H R M Z q C 7 A i q 1 n x J C 7 0 a l J R + T I 9 M o F 3 c t f z p y S Q W N 1 Z N 0 + W b J U q T u p 3 o N z s + g Z d e y e O F 7 6 y i Y 9 8 0 N G n E 0 G B / T Z s Y E T G e Z W r L 3 w e P 0 C Q Y i q J c r 6 B W L p t G i v d j S I 2 f w s N v e Q u O z J x A h E j 6 l U / / g g 2 e j C Q i + L V f / S U 8 8 8 N P 4 u a V V 3 F k f g a f + c y n 8 e W v f I 0 M T c J h F Z o 6 o 4 0 e R d B m 6 m n 5 N D t I z / p G R 2 p w C F d w S e M x v W 1 u S U K W v y X f w j S b w N X w M p l M g 1 j S Y E b A c u 7 J d D b j X T S q x r m E J o J z C J h B 7 f 0 7 h H 3 i V R n M a 2 Y Z p Y R O v t f x L l a B W 4 / g 9 o L y i d G 9 e 8 t v j K l b N 5 1 F 6 5 4 3 h H f f R P w 7 B A 8 u J 4 + Y n n D J p 1 S k N J I 7 / M 0 G E 2 b + S h P R K l D f 6 J R 2 a S a V I Y Z 3 c M 9 4 X t q J Q q 7 G R C a B C I W r B o u 0 B i 8 7 O 0 k Q A y j m a U k N p y i 0 q 7 Y Y t k G z t y 9 X o 9 7 F s a k p G z X W Y X f h W A q F Z h + T c 7 P 0 t / 1 4 6 3 3 n m K 5 r K 4 U z N A f F z N G I x g 9 C W J h O 4 7 6 F Y d x c X z G B J S E Z Z / 4 W h X e c l l y D 7 k A / 0 G e Z W T J U h f 0 u f F J A / / K n 3 t / X 6 Q R V a i B t 3 5 S K j i C X 3 0 F 6 O I 1 w P I J L r 1 / G 4 d k p z E x O 4 / L N J U Q i f g R I + F 0 y V J P + 0 s D A E C V D C x O U G N q Y p d l r o k m g h 4 J R l r O J i d E R + 1 Z y e e k S / L S h E / E o m u U K T k 1 P 4 U Y p j L 9 4 / n U S c M e I 1 6 Q Z c e c h 0 I i R 9 W j o V I g P B H 3 4 y f f N Y 5 T M u L K 1 a h / n t A / 7 y G A K K / T N 1 r a X c f V y l R 0 Y Q m 5 7 F y G a r f p Y H W S H a A h W c w t F J J o u 1 a H o 2 9 P w L c 0 K H 0 1 K a S x t s N i s l U 2 j k Z W M F I V g 4 t Q h P u Y V T G S p O x p I 7 / l O m t 2 I U 3 6 V p K + c W i L B f B H G W 3 q V o Y a J W B h E e B 6 B e 7 9 3 B 4 9 I V Y e X 3 q u T v W J M r S l H 2 k h l r 1 S 2 o X 7 L I 8 5 V P t 5 6 Z d w d v H I U v N + 7 w 0 E Y / 6 7 B G I r Q y W / U f g 9 9 M o T 2 C 7 S Z H K z H c C 3 N r v 9 M I z j u h l F s L p D 6 v i A e P p 7 E o a w O 2 6 s h m U y j X S k g S G u p 2 K 4 i G R / G z k a B v 9 q w v 0 W G i K J Q 2 C W 9 H t I e O e w h a h 2 W p j V z u x T A Y c K R J x 1 U a H p W 8 l X c f / y I L W x t 1 t t Y p w 8 / f 2 i G d N 2 k 7 R i i R i t T e J N 5 6 G I E S I P Z 8 U n s 7 B b I f A m U t r e Q b + y i T K 3 6 w r e 0 5 Q A t I S o P / 8 L 8 5 P k q z a N e t Y 7 p y X G a X N q H P I g u 9 X K V f o l I q 1 j q k F B f R 2 y Y 2 o E E n K / V U G 4 W a D 7 5 k R m e t v 3 K f u G X P 4 c T J 8 / h x o 0 V / M g P f x h n z z 6 M j / / s p 3 D q 5 C m a S f S 5 8 k t m q w a Y f 5 R m 3 n 9 7 9 h a u X c / Z 7 j L O v m o u U t X h 7 u + + 9 B w Q I o g g I i S R H E C c q r l C L S o 1 H Q t F M T U 9 j m 9 d v Y D M x B g u X t x G p a a 5 W T 6 b 0 C t S 6 J B Z 2 j L d x E C M 7 0 h 9 E M m 6 t 8 0 S a b v L V m + T K d m 7 j l Q 3 j U M J y V / B Y / 4 T J Z D i h X p d k q I e I X p a R u U 4 b R D b k f H I a G Y m e m 1 y 8 + j y m M M j 2 L u J 6 u 6 g P F 5 + B Z U v X 0 n L Y + Q 3 6 b Q U T S R V E N E q r T 6 4 2 r O b 1 w s e D G 8 W 7 k 5 3 d 7 g b T j 0 f v C y o z b r X / E d K d D 1 r o M H q F b u R o f S J Q c x 3 d 3 k K + z G + K p 4 4 P Y 5 I j H 4 U B f O Q P 8 I + 7 p K h 6 L + L b i V w N b u + 1 U S a v n m M d c k S K t c q N k q 8 u k W i r 7 W p H M a Q p J l H U 0 Q r 5 x G j 0 A 0 n x l i + h G Q P Z Q r e T C J D C 0 x 7 u O + a V h o b z Z r Q b p F G d R L M e m 4 L J f J E m G 2 i r m W + I O b G p h E I D 2 L 1 d p H W C u P m j q b P N 1 t 1 H D 9 y n E C H s U u H r N J r U I 1 t Y m F u H j s 7 O X J / A p M 0 z 3 a r R b S q z q J D H T C Q o L n V o m / U 6 V f x 5 3 / 1 P / H d l 7 9 B p N a x v b P E + + f x 0 r e / i s 2 1 J T z 7 l T / H T q 2 A V J g M x Q Y / 9 / V b 2 G 0 N 0 R S i w + n s n G J 9 Z 8 i z W y J G z K Q E f A 7 T d x K 9 h o i A c y d O o 7 C 5 i / H R K Z o B G V o R E a a T S 8 h O L O 1 h c 7 2 E t 9 5 7 G m s 0 R w 0 t z O / 4 R y q T B M h / d k q C E D u w R w Z n B 1 P t / 8 z f + w B e / u b f M p 5 + E r N p t H l Q M y 1 k r h G B 2 q x S 2 s f m p I m p S A Q a h a Q a Y n 6 Z K S 5 z y M Q R s G b b y e x x i E j 3 I h K P i e 4 m J J v 9 L h j v R L 3 x P c s 8 S N z 2 T s 4 2 4 / e C J F b m t 1 2 A t K S C / 6 z / 3 P x v x h R e O F i H B c H N 9 I L W 3 r i v 9 S P r Q b 9 e a V 7 e g 2 X o C 5 T 1 s v q a Z p y W t W i q k J l z 7 F j B I h 0 v h H r M P o A 2 y + Y 7 l q O 3 b C k G a L o d G o v i / r k k J o Z D 5 r N r V r q s D d W / u 1 t B h E y h g S 0 N 8 U 9 M T N r U o p 6 m e 1 F r S C / J F x t O J B G J D m N s J G N n W l V K V Y x P z 1 K c 0 g c f H c f K 2 g p / x z B E O F u 0 l F Z W V 9 D Q 9 L v B I a a l J g y E b R x B r o w / 7 L M D u Y f Y t 2 G 6 F a l E D J 3 W H o b D P S w c i r J 8 p n n o o e P n T x 6 a w t x U F j r 6 s b H X R E Y D B T T j F t c 2 M T k 2 h Z i W s d N 8 0 w 4 + F W q n G c 1 u i G d x 9 a Y 2 v + h j 7 t A 0 t r Z J w J T 2 I h R 1 e Z H + U z I Z x d L a M n K V H H 2 m D P x E O H w h v H C l Q i n T p 7 / i + C o i s n 2 k C 2 k e o h T H 6 9 L z z 6 K x W 8 Q n f + 6 n E S L x f / Z X P 4 M L F y 7 i Z z / 6 S b z n 8 a f w n R c v 4 i M / + d N 4 / i s v 4 j / + + 9 / D k + 9 7 H / 7 T f / l D K 8 M j R O 9 S 2 X t E p E Y P B 8 k P 2 n v w D / 7 J J / B 7 v / + f c e 7 s W c J J 0 z W f x 3 v f / R h + 7 m M / h W e e e b + N e F 6 6 f B M 6 n J w F O M z m E T i Z y j k s w G M e C Q g J Z M c n E 4 E 6 Q 8 R s C p 8 9 T a a w 3 2 a G B 9 / 6 V q y t r Z H Z B / D 2 x x 6 j x L t t b R e 8 H l N 6 T O i 1 g x H 8 Z X / r V 4 w g h t c o o 4 j O Z e i D w e v X H x S M k Z h u P + 3 + j 3 N j 9 d v d n X C w X D G G D b p Y 9 f x l 3 5 g 2 E p x y J f l P w + Y 2 a u u 2 K 6 K Z F m 0 g G W 3 g y Q c P 4 T 3 3 Z 3 F q J o K H 7 5 v B 0 b l R I 3 B d I + N Z 8 7 U l w K T d J s e y d i r i C J m l S d r a o T L I k k m u s + + G 6 e / E Q j p X t 4 W j R + 4 h 4 2 x g i L 7 S u f s f w K U r l 3 H s 6 A n U 2 1 1 q u T z 7 j T 5 9 P M X n F s a z W e J 3 D / U q z c t 4 D H n S X Z j m X 7 + r X Z l C d F U W r C / K N P 2 2 S n n 2 9 R C 2 3 G l L M 8 M U G r / 1 L 3 6 j / 7 G f / h l 8 / e t f x e k z Z / G F L / 4 + G 6 e 9 1 i J 4 f X m d E n 8 F c R J Z j X F R 8 n V a q 3 e p B q / l C k j s V T G / M E u G i 0 F L 4 r / 1 z e / g 3 g f O Y X V 1 h 5 3 e Z i f 6 k S U j X a c U C C Y i m K C G a t B U / N O / L S O 3 2 z R p b t P e v c C G s L v 3 E e Q R E Y g U E X M m 0 c d j J 1 N 0 G j M 2 T N x o 0 T 8 K + l G k h o 1 G w v i T L 9 5 C t 1 M 3 f 8 Y L R n y S e S x S T E y j G E j H 8 b 9 + / m P 4 4 G / 9 L m U l m U u 2 r 1 Z R k S A H A 4 7 P I L b Y Z 0 Y S g + D Q a e 4 W S K w G l w Y B + C j C G K D W s 7 p c h j I z j u a I 7 S 5 L a a t 3 B 4 P e e 4 y i 8 L n P f x 7 P f / 1 r q J c b O H X q O D V i D I v X X s c 3 v v w l c a L 1 i d J a v Q w O X O w r O f f S V I z X T A Q t g H M S u O n Z B o P l r n C w j x W 8 8 k 0 A 6 J 6 v 9 + M s K F 7 Y I S L k H x J 3 a q p j S T A x z f D B d g c d w c O w n 5 f m u n Z t 7 W p E T / k Z z 1 v T U D o x / l 0 P z O G B w x l E Y x S 4 b b o A z F O g r + O n 5 a E N M H V a S T q Z o K 8 M V N i P 0 a G I L U Q U b l L U S I u v 3 0 C Z d D A z k U W 1 X E R 0 O A s d / L e + u W V w h M J + b K y V C M Y g d B R o m H 6 8 Z m v k y T C h a A g T Y 3 H s 0 t 8 W r E O x J K 2 u i O 3 h b 6 O E b O C R 6 X l T J N p H s l q r Y j h F W J r 0 v 6 g w N l t F M n S U Q p 4 C g T A N s j / 8 j 7 / z w f P x 4 T S u v n 4 N i 4 v 0 a 6 5 d J J H Q z 2 h 1 a b r t 4 s j s P G o k n H y x R B b p o t C r Y W v r N m b o 3 G k / h z w d Q P k e + u C V G R 5 B o V j B d r 4 I D P U w N Z K 1 I W 2 t i 0 o E 4 7 a z 0 W Z p E 4 F Q G h t b b f W p j U q J z h W E H O 2 o 1 J V d z A b q E g H p E 2 W M d u q 5 Y z F M J K K I j 4 6 a F k n Q Z m 7 0 O y g 0 a p g e u w f f e f k 1 I p e F C Z H K r z K J Q C 2 j 0 Q l 2 p 0 + e w A Y F h K / Z w w O P v B 0 v v P A t E k U H j 7 3 j E d y + e c M Z e W J Q v U Y Q 9 m S k Z H E W I T N U G k e w q Q H 2 X v T h M B Q 9 I 3 t W m 5 z z o T S d x Z I 5 Z S q N 6 h F h i a g Y r 7 i l p R v Y X l / H r e v X 8 O r L L + L i h Z e x e n P R y W s F O o V Y f t U t B p I W U p w E C N u t T V O k C P S e G a w / n X s n q H 4 v H L w / G C R 9 3 R v n h + m M i f l r K 3 X p x / T p O 0 j j s H S L V 9 t t U g s F k t c n n r C Q t O 9 p 1 I 2 m s p 9 5 t U 2 b t N h Q v 4 a P / P B Z H A p 3 E Q 0 H U a e p 2 i T N B a k F m p 2 + n U u m j Y E C F N 7 R o I 9 M R I 2 v U c P u H s I 6 i p b a p 0 T t o W X 4 k 9 k x F M k g p U r V z m M e J q O V y J S p V I p a a 5 d M J L e g j p H h u M 2 Y q J N e o v E A 6 2 m g W S 5 h d W c H J 4 8 e s 9 2 Q t X J c M G s v Q F 3 + o S H 7 l L J U W E O T F l W A A p y N Q I 2 + d p g m b T y q 8 3 1 l s b A / y I B + X 7 B + f u n K i 1 j a v I 6 1 6 6 / i + L 3 3 2 s z z f L G G P t u f J 4 C d X t O + F 0 W C d A j V 8 F I b I + m E O Y R d E t c I 7 d t + y 4 / t U s 0 G H B a m J 7 F b K 9 k Z Q r G h A e a L w q d p T P U W G 0 G n L j G A G 0 t V 5 q f N L y k n D L D z 9 e s t o D O C E R J 5 7 f n 3 M D E S p r S I m p T Z p X a M x v y o l C v I 0 / n U N 6 r n v / w q p b v 8 G 6 e s g 0 G r h T / + s / 8 A U 1 M z N E P j t L t 7 e P v j 7 y J v t H H 2 n n s w M z W F O P 3 H W 6 v r z C p x I o J l x z K v i n P 8 K s Z K 0 p N 4 H U n N a k T Q h F O w C g l 2 b K R W 9 h p V O x 9 x m c 3 8 K 0 F k I 1 t K q z J V n u I I q z T N Z 3 / 9 c z j N v l / Z z O G J p 5 / B Y 0 8 + b Q c o 5 L a 2 n L R u m 7 w + U b A v 8 7 y M c e l L 0 H V w 9 2 n g e 6 X 3 0 r F O L 3 h 5 v d / v C Y z 2 T F R L I 5 9 R b e O z P l p r q p g O k 9 A H Z Q 2 C S H A 4 P p w j H O R B a d a T l l s I Z u 1 u x B h j w D 6 J c 4 g m u + D + x J O z y N C f r r Q 6 q F b q q N L s 6 l D g 6 s z d p G a H 0 / m X h o q S c b T B p P p 0 6 c Y t x N M R O 7 N 3 Z 7 t C 8 0 z 7 o D g 7 W + l 8 K A m o L r W F J q q G W f + N W 0 s Y p t u h g a F Y I m W a W u l q Z N x M M k 3 4 N G j l s x U O m 9 s 5 P r M F x F l P K 9 G p c R u k 9 U a z i l v L G / T f 6 Z N R k D T q P W z R t E w l 0 v R X u 6 h q b d S Q V j 6 w h 0 h P v j / 8 N 5 / r / 9 l 3 X 8 C R q U N 2 E L U k q j i z T h N v J b d t + 0 T o 9 L 2 b l J 6 B j h 8 / + i N P 4 c K 3 L 7 G L G t i p N z A 8 T E A 7 T X N C w 4 N h j E Z G U e P z 1 u 4 2 q t R p 4 5 Q S C T p 2 w c E Q l n e 2 c H P z B l K j W X z t 6 3 U y h 9 b u O M g 2 a U b E e 4 S j Y C N V I s A g N U z C h 3 e e 0 6 E D P R y a O s y G 5 I i s Q Z p 7 l D b h O P 7 r F 7 4 r S i C D y j k X o p 1 y r E y p O D o + N t 9 N g w e K Y 5 Q N T B A Z 7 G k i z D m l z t L z m R n s 2 5 T 3 E V R w K d a C G E N B B M f L 8 s g c Z B p t B m l S m s R m e V i W r R t i O l v A x 1 / 5 O S I + h f 3 W q i j 9 a l D D Y 1 g S s 9 o k R I t Y N L 1 J 5 e 0 z h f 1 h / Z S O P X V S o 0 R V y V 8 G I 2 a + O / h 7 s H + 9 5 z c z B w 8 G S V 3 V o T 6 x 9 M S z j 3 6 L + t E w R 4 2 x R w k u Q t T g Q E + w 0 z e x z S o F G 6 H s S 9 K T a P c o X J 9 + 5 B 4 c y w w h g B q l f J 9 W R g I 7 1 B C T 4 2 M o l G h m U U g l K a C 1 V k k r w 0 u l M u Y P z y J H W p S / E g o N o F S o U / A U 7 a N 9 n F a K j l l V K z Z z 9 N V H J l A r 5 j A / O W q 2 g p h e B 6 9 L q C V j U d J G C 1 v l A i a y U 2 b M N O m b a X M W m e z a a b b X o + V E Z t L A Q 6 P Z w f p W A a l 4 F G 0 q l f n Z W R R z R Z q T h I U C O M L 0 W q F e b O 6 i R c a u t + v w P / P h D 5 5 f u 7 m K p Y 1 1 v O O x J 1 C h 9 P / 4 p 3 4 d P U 0 H 2 R v G P / z V f 4 r j h 8 + h V N z D J z / x i z h 5 4 i x + 6 O k P 4 s U X L + A t D z y G Z m H L Z q r v l q q 2 2 + y m z u b 1 t z E 3 M U + n c Q Z V a r M K A R t l A w o E J j s x S a s h g f j Q B A n B h 9 P H j 9 t w f b W Q t w O z d e q 4 g k M y w g k J k J 3 R 6 Q Y R i j V x / N B h 2 q 9 l m z Y i s 3 S t s k t p M Y Z X r l D C i D y J E N v X g f m M k E Q I f n a s C u S z U y Y v E q 4 Y S d J N z 3 s a + W N + 5 f E S q V 4 9 S 6 L a 8 g R 2 s p Y B C H m W T h q I 9 e m 9 J D X / G j N J c 2 s G t e 5 F v m I Q / Y o 5 T J u Q U V S L E b W Y z 4 J i d C m t Q 4 g 2 U 4 O S 3 0 Y R V S b r F 1 F b u 8 Q Y + l U e l q G h e W f p h l e e X q u 8 O 7 9 3 B 5 X 1 g 4 J B w 7 o F u 8 G v P + w T U h 3 f S V C o J w S i 4 C R c Y j Y N i F C y S 1 s L x P 5 A A A P 0 b w d t R k Q I n W o Z 9 0 6 G 0 S Z M + p Z U o O k e o l 8 z H I k R H b R i N L u f 5 T e a m u Y W t P 3 0 x f T 1 R o d m Y B b N a t X 6 7 M b q B h o 0 D Z M R b R 0 + g A T N v L n p K T J 1 G y k y r o a 9 y 9 U K r Z O I M V 6 Z 1 k y j S U 1 I i 6 b Z 6 q O Y b 7 D e I d a / a + a a t K E Y S y f I V F i H t t H W B I V 8 I Y c U / b t z D 7 6 X b U v Q n w r i L Q + / i / R K f y 4 x j H c 8 8 j j h H E G x 1 K Q b S V / 8 y S f e f X 5 + 4 Y S d I o B e A K s r V / H U 0 z + E v 3 7 u O T p 5 u 7 h 8 5 Q L m 5 + d w 9 u w 9 + O M / + m N s b 2 6 S K 4 O 2 P / l h c q x O e 1 + k Z t P c u o n Z G X b k A F b X N / D J j 3 4 a 4 W g W Z + 5 / C M V y D b e X 1 / E 7 v / t v E U S U n H 4 c b 3 v r Q 9 a B 8 z P j + M 1 f / y z + 8 i / / w p 6 1 X b M I R U F E o 0 s E q c G L B 0 8 f Q Y T m X y I a R Y w S o k X z Y I 3 O Y a H g x 8 p K z m b H G w G 4 j G B l 8 F J + h y I Y J H F Z j 0 h J a f b 9 D L c e b 5 S O b + 2 v N A N f 3 J H Q R L Y y W / G W b c + Y T J L V q Y s v r F y f m a 8 G O z W M r V l i E G N 6 d X t M Y X m M E f h L 2 F S w o q x u p v G 0 k p 6 d / l D l A k P l 0 t Q i w Y i j P Z 9 K w U u j 4 N 1 7 v 1 b v g V + F g + n 3 A 9 + z V N 7 w 0 n t e N j N D f a R n M b e Y 0 q f h c f k 4 y k Q T V B q D O J B F I J 8 r Q I b y k e g 1 e P L 4 w y c Q H m g 5 2 7 y R Y K f G q V H o H m g 2 S Z C a L 5 M Z t f V s C / O H 0 K z X W R Z s 7 m e x W G V 8 A 3 O H Z t i H J H Q d L 6 r l 7 B N j q t S C p h 4 J C f F o 0 n Y l 0 q 5 U L Z p v G s G r k S G L 9 K v S Y / T 1 x z I k l Y 6 t g D B T k W a i P t z m i 0 V a Q t S O V C b f X V k C N Q F G a U 2 t b 6 9 i d + s W V m + / T j 4 J Y n 1 l E b V q j q Z j D t 9 9 + d t o 1 n a o 1 d o 0 N 9 l b H / q x B / s L R 8 + Q U 1 f p 8 5 R x + t h p r G x t I z s 1 j x v X X s P y x m 0 8 e N 9 D e P G 1 1 2 g b + 7 E w n k G u v I X A Q M i G F f t 0 G l e W b y N L J 3 K V Z t 5 b z 9 6 L a 9 e X b d O V Q q 1 M Q t t D d 8 h H h 3 v T p E W 1 Q Z 8 n O I k v v 3 C D k k x T i m S v B t G q 0 l z R x p I k i o O I N w J i J 4 m Y 3 / 8 j J z B Q 3 c Z D p + 7 F d m 6 T K j u I q + v L e P 7 b W 7 S 9 S a A 0 9 Z R O D G V 5 n W I s q E z 5 K n b v E p K V r X j 3 2 Q k k F n u + o w k k / f f n v z H Y e i z V I w K m 5 t A s D J k 6 z k u W y X e a f + g F s o K z W F E M I u Y g 1 o 0 5 e W / v W a 5 i r V 6 X o V W a V 5 / C Q R g t v Z X D e B K N R l 3 9 h K O t 3 Z / c t l s b B a P u 3 X Z 4 v 1 4 Z X p z C m 7 2 3 v n S f 3 2 g a 8 l 7 P 1 O p K o 5 F T W w i o 5 q k c a k o x 2 R 5 9 J B 1 F I 0 E Q p K b q D O 7 h q Y c P I d U p Y D R N H y Z I F y E z g v K u 6 E m b 7 g R s c a d O e u n R l J 8 k 8 V f I V K F o z A a 7 w k E f q q T B e q 2 G X Z p 9 w / E I F h a m 8 M r l 6 z b S X G 0 w D 3 2 j Q l E z J x L U Y C 0 k h 2 P 0 e 9 p k 2 h q 1 5 A C 1 k w 4 t G K R G S x C P Q e z V G q x 3 k N o q g C u 0 1 F r U Y q d O H s N z L 7 2 E B V p V + h Y V D U Y w N z 9 t E 3 B 3 y H R 7 t I z Y Q R j J J h A L p V B p t 7 F 4 6 w o Z k 7 7 k m X t m z o + l M 7 Q v w y h V a k 5 H D k a w s r 6 K k d F h u Q I M A 1 S V m r Y R x 2 E 6 8 I u 3 l 4 3 4 9 a W 6 W q m Y j e m j M L r / 5 C l i x k c b t 4 i L t 6 5 j j h p L 8 / B q 9 Q o r n 6 a P 0 s d L l 3 d w / X a L 5 p p j q / Z 0 o p 3 M C B E b k W H L L Y g s 8 2 N c a a 1 L m u f W 7 U 3 E U p q 4 W K a k p B l Q q W K X f t T y 1 V 2 r V / s R O M s o e H O H F u 8 E E Y d L I A o H C e h O I P k T s U Y 0 L E e a R i a a y p O 2 E Q G J w f W 9 S K a e x 6 R W i s r y k d C l J W V j 6 l G s o T S 6 + N 4 Y U Y X x 3 j 4 Q 2 7 O N O h u R C h 4 z F a X Z 3 P K d y y V u 3 b v 1 W T n U f J p B o j S a 5 e 5 9 M t B 7 0 3 A H g t p 7 M J j 5 + Q Z G u R M 0 C G A f Z 6 0 i a V W n X i e w H L 7 X o l N Z F b Z S W W Y s N Z D B S F w 4 k 1 F o r r I O Y 0 x / A D F q h L N T 2 n K O z M Z k + u a n p e d B m u S C N R w K 0 e S q s u 9 6 a J I u 2 j T L N U j x 2 s 0 l a g p q F W o o H T C g 5 U C q R y s f R I O 5 n T y m R l J G S 1 U y c 5 v 0 l C I 9 Z z I J O 3 F D K 8 r 7 v g r S a S 0 p y p L B K u h S c / k J x J A m T N P n X 9 v Q R I A u x q f n 7 A M y j V R o b 8 k o / a T s y A g t o H V r e Y E W U Y j M e 3 1 l G S M p f f 9 S f / d w 5 d o i S j J 1 P / S B 9 5 z X R z E h I x o I s e A N p J I R h M M p l O k Q y q Y d T i X x j k e f w m 5 + g 1 K g w Y J G 6 V M V M R S L Y D w 2 j q H g I M b 0 R Z y c u 7 R + 2 8 b 8 6 5 q F I G K k x O 0 i g i / + 1 S V c X d 6 j 1 H C + y z j f b Q Q i O 1 8 T O v V A 5 A r l b 0 Q 7 g w i F 7 3 X K Q 5 m a 6 P T h a d z M t f H V K 1 W s 3 N z W b C G + Z 1 6 m 0 b + 7 C c c L 3 y / + Y F A a E Z k Y 2 G B S H g d Q 3 j o E c 7 A c I 0 g 9 8 5 3 i b e o P E S p z w w L j j A n 5 a 6 W o L K 8 8 x t u v 3 r m M Y P 6 I f i m x j T g V 9 K s 6 3 L q 9 e B u N Y 3 o z J w m H j M r v + Q b H 9 L o U v F 8 v e M x 0 M N 7 u N Y O B 2 k X K k i 1 2 4 X V h c Y O T x 3 n n g E P 8 a D B I + N Q j m U v M b o x O p h I s / W 4 D N 2 7 d w v 0 L Y 3 Q L 1 k n g G Z p p G s 2 j P 0 L / W U s t N A o 7 p J n z Z M o m z f y q 5 l 9 q m J 7 l z s / N o k M N N T w c w c 5 W z j R Z q V L G E L V g L D S I F u l K u 2 + N 0 q T T C u J G L 0 x h 3 s U n f v 7 X 8 L Z H f w j 3 P / g 4 L r 1 6 E x / / x G c x P n E c J + 8 5 S 1 i D e O X V R T z 0 y L s x N j 6 N z V w B j z z 0 B P n g J q 4 t 3 b Y h + Q 5 N 0 A g 1 q d Y 9 Z S g E N L o c j U a o / V K I D 0 V p n e z Z p j 5 i b P 9 T 7 3 3 4 / P L K i s 3 + F k D 6 8 K W G x S I a y a E K Z u O 0 U v b k / F m k U z M 4 f c 8 D e P T R J / D K p e v 4 + x / 8 K L Z 2 C 5 g 7 f B T L O 0 s 2 s 3 w 4 G K V k p T 0 c 9 b N D N A T Z w 6 W r q y i 1 4 h j c 6 5 C Z K F 1 I L D q m U R 0 f Y M P 7 c q b l A z D G Q c 7 3 I p 8 R R m z d v U F c X 6 9 h K 0 d J 1 N B + D 0 S W p p s w u Z E n f / c J 8 f 8 z W N 2 e 6 c m y b K s u F U w C F M F a t L Q n 3 2 n C p 6 1 F U m t o d t l E X h L k n o a Q + N 5 2 z l W 7 V K 5 T v L V F l z 0 z j T E W 6 5 D N J A L U u 7 u Z Q U F 3 0 t x K 7 8 H m j B x S W w z S Z 6 M 5 Y Y f A e c z p 5 v X K k f b m j W l W L y j + Y H + J c H V g m U 0 T o i n j m c f K 5 4 V 9 A W G N U s s d b c 4 O s n 4 T H q S Z d W c r m o 3 p / Z g e S + P c q S M Y z S Z R 3 t m i b x Q y z R Y L 0 J d h f 2 r v D R 0 V t E V h X S 3 W r d w u z b Z R + l X K r 9 k S l V I R 5 T q F + n A C Q W q X 7 M Q U J t I J b O w U y L g 0 v a k x d q j 1 d B r H b / z m b + F d 7 3 o a Q x Q O W o f 3 r / / V v 8 Q m / a F Y Z A w z h y d x / e Y t f O D H P 4 L s 2 C S F / q B 9 2 z p 6 6 B 4 8 9 c w H 8 D f P / g l G k 0 m a j n E 1 B n 9 z 8 Q L u P 3 I M h U o R k V D Q P i S L o T W N T Z s Y C f 4 x M p v v 8 / / o J / u F F n 2 c 3 R L i g T 0 m F r F 3 b f 1 H g L 5 B i / c r + R 0 c H Z t F i / Z n r d J D P E k i J u F s b K 2 i V q g h m I h r P A D / / P P / D r e v L Z s p 9 0 d f + O 8 Y H x / H 5 N Q 4 X n n l K u 4 9 + z b 8 y j / 7 b X S o l p 0 9 C F x N w E 7 y E S D z U d j 5 M m 0 M e Q c Q q L D / j t r v o K l i h K c R m k b T T D 7 t I 6 f g E d O b M d c P e q d g J o r M P A a l l Y m n I J o 3 u M w U I p P w X n a z T Y B l H q 0 M t T R W r v N d x i G m A f t Y 7 Z W j 9 7 o 1 w m Y 7 b K C C + Q 9 q j D e F T U y s N I K J 6 f U N y k c / p M t i W A 0 g B q B 2 V F 1 e U F k q 1 9 r M P B Z + Q D 2 2 V M G F V f D Z y Y x q i B u U / n t h 9 b S i y n I 1 L P P 0 a b X Q 5 r J t l I 0 J 2 Q 8 P n Z n C 2 y Z o + t / Y w Y n 5 M U p 6 D T B F 6 J c X E S V D 6 J v l 7 W 2 a a N 0 w 3 v a 2 9 1 E w D + H F 7 7 x E Y g / i L Q + 8 B R X 6 R 9 e u f w f p Z B S 3 V j e R I L M k U w m z m C R Q G q Q l u R z p z D j y 2 s 9 k N s v 2 B G h p 9 Y x + B / w 6 y L p H o R + k 5 t F E 6 D Y K 9 O E W 5 k 8 i Q r 9 K / u 6 l W 4 s 4 O p J m G 1 v 0 4 c g s V B A t a k a f P h O l 4 m a 1 j W d H s Z 7 L I R n V s g 8 K U L Z 3 f X s L / s f f f u / 5 U a k u a q H l z R y O z R 6 2 l Y / L a 9 u 2 z C H A B j Z r J c q a A L b X t 7 G 0 I d s x T m C L N m y t V a h j y Q z 9 U j + + 8 b V n c Z W N / c Z 3 / w b b p R V 2 a h 2 v 3 n j Z z L z f + Q / / g 5 2 k b W y p l U y C O 0 j o 2 1 Q h I k + 4 E B b Y J P 2 7 O 1 g M 3 2 s A Q P e a S 6 d f L f r T U K 0 2 J / G Q / G b B m I T E Y I T F c D c h 2 Z Q h X v b V n + X Y a e o M n k Y A p Z c 0 j Z h J R T j l S H t J w 1 A e y 7 x R P v o K 4 i r L w 6 C y b F Y B L 2 u z p e c 7 / g o C 2 7 6 M b f G g 8 e D T r 8 G s N r l x y m P 3 0 k r W H g m Q n g 0 7 S w h q / 3 T b 3 J 5 p V L r 6 1 A 6 Z U x w v y 2 O 9 J v j Y f 4 R T 0 8 N s k 3 1 x p M 9 d j 6 a u Y B b 7 1 C B 4 3 f o 9 7 e n F 6 X L 6 U e 9 V v i p 0 0 v L G N L b Z w A J J 9 b G O 7 V w J 0 y O D d p R R l J p J / m m 5 V I P O x I 1 T G w T J g N o F a 5 t E X q / n c H X x G s t q I Z 9 f w + 3 l 1 6 i h t g 3 W w u 6 O j d I 1 a A l U a a G E a P Z N T U 6 h 3 e p g i P T l Y 7 s X Z i e R y 1 e p 7 a i 9 f B 0 y 3 Q 4 m J 8 e p V U J I x v w I h S h s e h R C Z K L h d M o G J N q 0 o g K 0 f N p k p k g 0 B q o h 4 h B 2 I q M 2 p Q l S o G s U U j 6 g V q p q J s f m 5 g Z 2 C a / m v / r v f + D U + Z P H F l h h H 6 u r K 5 i e H G W i A U o N H W u T o L r N 4 G s v X c L 2 8 h I 1 A w E Z S W I n t 4 P x 0 Q l M Z r K o t J u 2 B L h R a 2 C n W k C L 2 u L w 7 C G 0 a k 3 b z G L Q P 4 S v f P M y q k 0 i g I i T + e g d A y L c D G j u m W i G w B r C h G w h y x L o j x M c p B I z 1 I w O r p w v 7 j Y 8 y 9 b p I 6 y I W R 9 N 3 y x 4 D O Q R x 8 H g 1 a c 0 I j j d O 0 P U L p w 2 g k X C E 3 M x r d X L e 6 l 7 5 R D h a e d Y v V N + Y w I G Y 2 A j f K d u J n h j / S p P w k B x 3 w 8 + x X t x + + U 4 J p d 2 P H L M N w e e / Y P o L I a X 0 o t R G M S c X n A Y i 3 F q o 3 U n n w i H j i 0 y / 1 Z t U B z z m 2 Z h H U 7 b n H A X h M 5 7 x W q 3 V W f s X L F 6 Q Y 7 X W j e C Q d d B 6 e Q b n V y Y R I i 1 1 K s V l k / f P R W j T 5 V D Z n S S W m e J P l U P j 7 z j G Y x k s y R 8 7 X 8 / h u z 4 D C Z n 5 j E z c w j Z k X G U S n n s y o + n 5 t r c 2 k Y i k c S V 1 x d R r m p L h i p 9 K i 0 C r F G L 7 5 k b I x d G w r J U o v + T S m K P t L y 1 s m V L j / p 7 b a S n J l H Z 2 k C t V m W z 2 Y 6 h G G 4 s 3 7 a B k l d v L 5 t / O K G B E b p D Y + N Z m p V 5 9 n m P P t 8 w f f g m I i w / E o 7 A / / B 9 C + c 7 g 1 E S f 5 d 2 6 Q g W r y 2 S U 9 v U Q i m 8 f n 2 J m q h K g c j u p T + V 1 Y 6 w t C F n a T 8 O E Y G t A U 3 D K N h 6 l w o d S / l b m n / V I 5 A P n j o D f 7 e F W q + B v 7 2 w S W k p A q X 0 V 0 e r h 0 V M w l C z A e 3 q a U R n W k G X f o Q Q 5 9 Y L 9 t G S Z o N D R G J M m i Y k Z D v B Q Z p F 5 R G O g 0 F I P P j 7 / Y J X p o h M Q c z k M Y T R h s o W f I z T r a V m G 2 x U 0 u I 9 o r t D e O a M S 0 q 7 R G n l 6 Z f 5 z B R 0 6 z T C 1 7 3 q 0 v 3 B 4 K Z R 0 J 3 l 4 W U M 4 q Y V M 9 l g B O O 9 M r 2 1 R 9 4 g h 2 A 1 O H R P y e q 0 y 2 F E C 3 o m 4 b F T n a F 3 a z B T u z A r W G 1 6 t p 8 7 8 R a s C S q L 5 R w I t t i S O T S 0 L 4 G p W f i h W A e R 0 Q F k a S 5 F p F 1 p 6 U y O Z 1 h 1 n R b 9 k I 2 y F X e 2 s b O 5 S L + p h k 1 a R f V 6 H p X d D b t u 3 l i 0 0 b V 4 M k Y G K C M 1 n C a B l 2 g W R m z l b o f E r w W z J T J s J j K E 4 c y I n Z y Z p 1 t T L N Z o E j I P G S B I D R U K D 0 J b i / + f S z d x 3 9 E j 9 u G 5 S a u L 7 I / J i V H 0 m m V k g i G a 8 4 S b / n C Y Q m d 5 e d n 8 z K j a x G 6 P 8 D c c G k S A G t 7 / + C O n z 1 c q J W q i Y U p 5 z e B N Y p 4 F v 3 z l d Z t c m I h H 2 O l 9 S o k U Q r Q x J c H 0 B T q R p N 2 7 m 6 d j m a R U 1 A f M P Z v 3 l 6 T N K / V 9 e 3 W N Z t 8 m r q 7 B z n v a k + f u F y M J Y f S X K P X 9 G t 0 j w d l W v S R K Q 4 / 8 J A v E k B j P i I b v R J z 6 G M h L p o 1 J U b 0 j k u x X O V h 2 Q E S i m R K K c P E t x H t p 9 g l O h O Y S h b 1 X e b x U r n w a f T 2 X z a 9 T N G Q W G Q F K s 0 o T 8 b 2 0 o j M Y E L R 7 x w x j O r V F 9 b j w 2 x C 6 W 6 9 g U L 0 2 v C w g l E S / C i 5 c L s j 7 Q d H O v n W 8 1 D d u O o e g F U e Y B Q P j Z H Z q q N 3 M L v 6 a + c d 0 l o e X j 4 i X Q L I 5 h R Z H 4 a R 7 t d c 0 i N / R x F a D 8 C F t b A 8 O 4 6 l O 3 t t i S 5 V 7 M F g V e u t m c I P K E E u p G k 0 J G 0 6 l c X u z i m h a S z L q 8 F X J X I k U + z t A F 6 J j k j 8 z M W G z u 7 V D E X P Z 4 I N 2 N t K U u H B S x 8 4 6 5 y 5 P T 4 y g U K 1 D m 6 5 o 1 C 0 w S P + I 5 l q X 9 K E T 3 K v U R j o W t K Z T P M i A 5 V o L i X Q G g b B o M U R T s I Y I Y R 6 k P / b i I s 3 B e B g R G g x H j h 6 j g P Z j 7 f a K m X 0 6 r Z O E j p n p Q 1 h Z X C T t J 7 C x s c X G + e 1 D d J l M 2 K C l t k d r z P / j P / 7 + 8 7 P Z t G 3 k V 8 5 X E K f 6 1 R E z w / E U U u m o D R F u 0 J 8 a o R S Q B G n Q + W / Q q Q s N J j A 7 f 4 a q e B p z s 0 c w P X Y Y 8 1 P H c e P G K v K U G p G I D 9 + 8 2 s C V 6 0 X T Q B o 1 M n N E y B N T s K v s 2 P s D z r 8 T D D P O r U c M I n 4 S g t Y d i b D l i 9 i G k k I U i U L I N f N d z E m V r D j L b n + d o P I 9 s 8 c j b p X t E C b h U z 0 M M p s o n 6 0 s M 4 0 M H P 6 h 1 B b 8 l o 9 U Z v 6 N 5 X D f i 5 l 4 b 8 P 3 b r n S R E p j g y n K 5 9 b l D U J I i 1 h w 6 5 Y W 8 U w s D y 5 n G N y B V Q x s d S n w P X H P f i V x k 8 A 1 W G O a U n H K x z g d d u a 0 k / / Z X 6 R a 0 x J q o 4 L 3 n U l H 7 h h u x J D E h 7 W D z 1 a a h J p + l N A N s g x s q p O n 3 d z g g H Y H B i 9 I + 9 u n E e J R B r n m k c Z 8 E f i i J M L 2 n m 1 E O U a B r d 2 J N A M i M T q G 3 f y O 4 b h I o T 0 y M q J S i O N B 5 A r a 8 a q N e D i A e o 2 + E 3 1 8 b e s V H O g g v 1 1 E u V E m 8 3 X R p u + z c O g Q 0 t l x C n Q d q d R E N j t h / d t r a 2 Y 6 f a 0 g t S E Z u d f q 4 y e e e h L N + g 5 d n 5 h 9 G 7 O j a u g T B Q M D 6 D J N l 3 5 a l X Q c D / Z p k n a R H h k l S M Q f r 7 b N Q q c P G I 7 C / 9 7 H H j h / d W 0 L z U q Z n d b F X 3 / j 2 7 h 6 / a b N f T o 6 P 0 N / U G e c N p F M M D E b v F J q o r S 9 j W d + 7 M O Y n p 5 B M p 5 G P p e 3 I c 9 s d g w 3 l 2 + i V i 8 j n k j j p Y t b 7 H Q S A i u 1 z U O M B E i I k v R d E o y k d a t l R C t u 9 5 B x J / C Z 5 d o p d R p N E 2 F J G 4 h A 3 X d i K m k M H + i Q s w 5 D H t 8 a + h X v E q g 9 m q a h F O a j R y D S G C I M m 3 u n w w m o O R 0 f S G t H B S u Z S M S m 9 K z b f C v W K + I W B X l 1 y R E W Q 4 h Z T P t 5 Q T A o r V u f y t J J f g 6 z q V 0 O U 2 n v P i k c 9 Y W T U s U 7 c O + 3 V 8 F L r 1 8 x s f q Q 0 s S O j W F G G x x h P m W 1 b 2 n K q 3 T G R I z n P / W Z J V A a 3 q p L l U / w S 9 s S K o J L 5 r Z 3 j l B w a z e Y z P e y d n m x T r D S C Y Q T 7 b y 3 p q s E F a L + o T U T C E Y Q G 2 z h v p M L 2 K 1 L i w Q R j S d o r P T N r K o V C h T k T R R y O d L U i P W V P l 3 c X L 2 B y e E p T E x l c e X a V Z v a 1 e S 7 Q r m G 3 a 0 d d 0 0 U T b T h u O E t l Y y z n B J m 5 0 6 z z i G b C H v y 2 A l c u n w V j z 3 8 C E b G N E G 2 j 6 O n j t O q S r H f g j h 8 9 A R e u 3 I R y X D Q 8 t v k 2 n a f 5 m U S f T J r I Z + z 6 U r 1 V t N 2 8 N K C W + G z U C / Z m j z f o 0 8 / 0 X / 8 5 I g 1 q l Q q I K X d i t o t 8 4 d 2 8 1 S V 7 S o a Z L a p w 0 d Q p G q 7 S V M u Q a c u k 9 J 3 p b 4 5 h N o T X V N M C n y v 7 c K G k 2 P 4 q y + 9 T g l C J I m 4 f O 4 S b R E B G y A p Y R J e m C w X q d T 5 S 4 b x i G 4 / e A h j 2 c F Q F B 0 2 T s T a c w n b N A Z V v 2 x + U O U K Y Q e D E C r E e 8 i X a W T x N H z F R I L B k 7 L 6 6 t + j p N O J i E o / w L L 3 R y I F h s r R n D X B T Y i N W O y l q i U z k O k V V J p X r 0 N Q S u 8 8 M 7 P F 7 e 8 7 x 4 I 9 + J T z z b 4 h O e / c M p 0 b e 1 b Q 9 l f G P B Q C X Z a l N M Y Y D C J k m 9 s m K F m v x X l 5 S f R W L v t N V r j u j W 1 U l t o h I c K + l o l r a 3 y Y X 8 S r d C r D u 9 R u L 0 7 B y t w f l H C C 3 i l e v e C A w j 6 g I 5 9 J 7 + H p x 4 5 h m z 7 5 o d E J + H t 9 Z C n 1 b 9 6 8 i a n x c V x 4 9 T V M z 4 y j V C y Z L 9 o s 1 x H N x C j A x 1 F v F z H Q l a Y N Y T S b w f Z O n g g c Q I Q m 2 + 7 O F t I 0 / w r 1 m u 3 a F Q s k z K + 6 / N o F T E 2 M 2 1 S i N C 2 w n a 1 N m n 5 x m z K n I 0 D t s L q h C D r N H m 7 c X s T 0 7 F E E f V 0 0 q i W b r Z 4 Y H a c F l 0 N 6 O I k K G W q n W C G u O s h m s l h f X 8 G J e 0 9 i u b A B / 3 o 3 e f 6 p B + a o Z X b Q J i 4 2 t j a Q j A 1 T O m w i l 1 8 n n V L z T I 4 h w P 4 I E o G a Z t Q T 0 e 0 5 X 6 Y D V M O B W A w 7 t S o C A 2 G E q C J 7 v R Q l S J 7 I J a O Z 5 n G C Y 6 Q Q c N 6 J e P T d R I R k S G G c d 7 F w B 0 m 8 z L T T r a b X 2 M A G U x B n p k X I T B q d J C B 2 7 w V D I B H n M Y S C w 8 D 6 X k R i Y B Y m 4 n 9 K T N 5 q O b y t f 1 K 5 S q v X J C A R r D G c K / U 1 O 9 7 5 i O m U Z 4 c B 8 J 9 p U L 7 3 Y F b Q N y K n f u Z x 3 0 m L 2 x A 1 6 / Y E g u V h U M v V 0 I P a c 7 8 8 7 1 K c C J K M o D r N x G W Z m s V t c + Z Y h k 5 N F O w 9 W g k + D f j Q r P Z L Q L I u r R 4 W 8 5 k J S g J m b W y N 0 + s s U I V b 2 0 3 7 E U x p t S C v j o S V 0 1 M C g f A 5 k 5 D l W x 8 M T h / o 9 8 6 l / l J 1 6 i f r d l 7 q t z 2 a a k e P k h k I Z 1 f + 0 d A Q K m Q e W Q g r m + u Y n p x m / w + h 2 q o Q 3 h D N v m G b R L B W 2 K E 2 H 0 C I w q / a 0 A r a D K 6 R C W V d C c 5 q p W b z A V v E l S Z P t 0 k z O k N a Q r R F / A 9 H k 6 w r R B 8 r i l Q q g X q 9 i 1 g 8 Y g c J P H d p h W Z f H q P 0 4 Z 5 8 9 7 u x v n Y L N e Y d j J C + t 3 O 2 U L F D d y d H r R Q K x t j X N W t L m G U N x 2 O 2 o t e P s a n z N + l 8 P f r A S V y 5 8 j r + + W / / A U b H D 5 O 7 M x g d m 8 E v / v I / p h q 8 B 1 u 5 o p 1 5 m t t p 4 9 D c K X z s o 7 + E L z 3 3 V R w / / Q A + 8 f O f x v / + s y + w 4 z p 0 / P x 4 9 q 9 f o f 1 O x j N z w S U O / u i A K v a G I U N E Y + a E O 8 z t E Z a C c y / U M g 9 v b S D C M C R C s g R m 2 m n w Q c P k q k E D B 8 K c 1 c d 3 K t 8 z v V S e 7 q 1 O d o A 6 Q R u E G O G o X M J j 3 7 X 4 b C d H s F y z g x Q Y J 1 I y B m U + J 4 r 1 s C z B Y B q I 9 7 o U 9 F f 1 i e G 1 S Y g R K 5 8 d h i Z x s V 6 T 7 E r H x u j e G 1 l k I Q 5 D q R 6 V b W l k 8 r o m F u 8 t G R l K m k Q S 2 P p F a R i v D U q c 9 V 3 q A / 1 n v G B R H u b v t u n A a 1 a K z G 1 6 3 8 7 o o n N J W I j w l d j a K U D s U o 3 C E 8 u 1 B A p M Z O 0 V h P w r W A U H g 9 c P 3 r P 1 h R u n Y G m p c f y h I M W r D / X G D g 7 R h 9 d H 1 0 g i j H y 9 i O C Q H 0 O s u 9 d t o i 4 / J p a k V g c 2 d 3 K Y n J g y X G q G f y I 0 i P W N d Z p 0 s 2 i S e e R K x C n c n d X m F W o S 7 V n e Z t l 9 J I m L D u E I B c N s E 4 U L f c 6 9 g Q j m T y w g M T Z C A V j H z L G T K J a 3 c O b Q U V y / 9 i q Z l s z Y q N M y 6 l M r t p F M p R C O x b G 2 m y P j N 8 l E h I u A 1 S k U / G H S T o t 4 S c 6 f 6 r d p O 3 7 m w + f o r D U R S 0 7 j 1 t I V J K M Z 2 h R 7 r K B K p D E / T U K N w Q / S R p C 5 5 x u k f a q N W 6 g u B q k q f f 4 2 r q 5 u 4 s t f u k b 8 R o j T l j m R 7 E F e / C 8 c U O L Y M K 6 W d A p J z R a 1 i / a W I I J d B H h B 5 C Q 0 6 M u 9 R v f 6 r H + Q G s 8 x i V z H W X 4 Z J Y + h y 2 i d s X 0 y B H 9 s u F Z p h U w X q U Y 7 0 n g a 6 y Q D i t j I k X R M K e X Z D j 1 L j W s T F n 3 f E s M b M T P + I G H s M 5 f B L e 3 E W 3 v j B N 0 b f N J A c t 4 t U p W z D j 6 b J m I Z g n y f S X g Z g c u 0 U n k q 1 F 4 o 3 4 H 6 e U n T K Y 3 6 S B t t a n m E C t B S c / s O x z R e W p V i o 5 I q S g w m J p G F o X / E m / Y E 3 y M M 9 p 5 t s m + F l p / 3 L H t P Q r B W h 7 + j X d 6 d I N C s P 8 V g q k c R b v D 6 y B u B l D m h G A e b 7 D v m 2 a M g G I i G E B 4 a o N / T p M C e w 4 Q + n F L A 6 A D 0 u D + M r f U N w 0 c 8 N o T 0 x C F c u P i i L T g 8 d e Q E 8 0 x h l Z b U a I T + e 6 1 A N 6 P C v N R w d R 8 u X t / C V o n M x b L U b j s 5 E h 2 c P p y m y 6 G l H M B C Y s R O z h y b m L Q P 3 8 X t N V m M C J D m V 0 t L S P n i l K n 0 m 9 g / f V 8 L O S 2 1 p 8 u h B Y f D k Q g Z t W b z D e W T 9 X r s I z Y t S d N T m 6 / 6 Q k f u Y 4 1 d / N J P v A X b y 7 c Q j a a x v r m I d C K J V H q c k m G I N u 0 I S r l d t N m 5 g 1 S X r 1 x 4 2 b Z q 7 v j 7 C C e i p m Y H w k l 8 5 b l l E t o d g r M l x Q o O B s y 0 k g M n c 6 O n j 4 D M Z 9 9 p L I m T 1 k G U S E U o 4 L 0 I W h I t G k P P p m S z f N q 5 Q r 5 w L f N T w Y i B + X Q U p e q T k 2 / 7 G A i B J A 6 N S g n H 2 q N P H x u 1 H 7 h G D f s 0 i 7 T 5 i r 6 T q W e 0 t Z g d k m a F M k r l 8 N a D T + 2 w 5 R z u K K C C E Z 5 b v 4 I R J J / 1 s d m e e V k 5 R L L M r o 4 V z i A 4 e S m 9 j f i x f p 2 s b u W S 8 I 0 h e a 8 P u F 2 N r L E v v N k W 1 n 7 i x p h P 5 p / 6 T b 6 k M Q s D n 3 V 5 5 V t 1 F s U 4 t V M a S U u 2 + W z t Y T 5 t m q P M q l N z 3 7 R J i V o k Q t d M D D G H F 7 y 2 e m 3 3 7 v f r c i J Y n N t H Y m R F q m m R O I J a G B h o Y j R R x s l j c 5 i n 7 9 5 l / U U K 2 A B 1 1 w R N s w b b u n L 9 h j Y V x 2 Y h h z m a Y k n i T e a f 9 h G 5 + N p t v L r U t u N r N W P A 8 6 0 9 G J z g w i n 8 m h T q 4 t S h A B 4 5 M 4 5 r i 2 s 4 n N X s i j p d m R D q 2 t 8 m 3 M B o b J R M W b K N T w c 6 P i q X C N Y r f p w 8 c Y Y + 5 x 6 G w k G 0 q A 1 f f u k l W m R 1 / N S H f g L 5 c s 6 0 l b + f z p 4 / O g a k R w d R L G 5 j f D R F O q + Q G B I 2 M q I N V / a o 0 g J U 0 U L w + s Y O w m z g y U O T i E e S c h b Q H B j G V 5 6 9 T O m o D u S 1 7 8 8 4 j Z F t L 2 R C g w I D + r r v I l Y j f G 9 o P H P s I 0 X s p L 8 W a T 5 U g J r U J 4 n A D r R 4 p h N h v S E o L + O Y x f w Y + 1 5 E A l G Z I k b F y 9 + w 7 Z P J 4 G I 8 p Z c / Y H V T n 4 i 4 + e i U z T g J C C 9 4 Z V n Q P X 9 0 m b b T P d 8 Z s b n 5 p H 2 9 e + U 1 v 0 m a w k O 0 m 8 8 q l F k 1 y L e u W e j V 5 X z z k g n k D J j o X p e y O D D w h v E G 9 w F f 0 u p 1 0 1 o + L 1 r / x I Q k g C D / a S S W 3 i U J P c Z y 2 C d a T k 9 N M U g 4 x L S m Y n W x H C + o P f v 9 c C C o L h H 1 Q C z h L I 2 X F W E w S D B S M 4 X D z i H j p I N Y t I + J 0 S G M j q R Y D 3 1 A p l P b p b 2 k B a q F B h q E 4 5 5 T x 3 B p 8 Y Y t i x f V b 1 a D + O J z i 7 h d o Z m 1 J 0 0 k / 1 r t I p 4 k M G n B 7 P m c f R / V a E H p V 7 t 8 F K R M a 6 d / 9 C o Y m 5 t A X m e a a e + 9 R h f P X 9 1 B 1 b + r m U 7 w 9 + i j 1 Z t 4 + d o i R s k T Q 7 E A d l Z e o 9 m 5 h v z 2 T f J K n j 5 e A x U y 0 v L q D W x t L W N 9 e 4 k 4 S K T P a 9 V x f K T D Q m n u 1 P u Y m 1 6 w G Q 8 F M h h 6 N P l 6 N F s I X a P X t u H h C p 3 I f K N g X H n x S g X f / v p V A k + z T D 2 6 3 8 l s i X W k f k l A 5 k 8 Q q W y w G M r m U D W p m t 3 U X v C I R X k V R C Q 2 1 C 0 p T b T L Z N E b Z / m 1 5 B + f 1 H M a l V J n u k z A P 4 7 Z R O Q q n S N 1 y c y E Q 2 c e D b r S V m a S A c E 6 m M A h A B E f 7 4 0 Z G A w e 3 n u w v o H B X D i N 8 K 0 + D W D o v e O v O S Y u L 7 6 j 7 M G e N C j N V y N o l 2 n E x l o 2 r n N l H b / K j D P G M 4 P a y 7 x i D N M E / B U c u k x 7 q z N Z l p l q Y k g 3 G F Q q X y n V D g 8 + X f v v 1 a P 0 Q 6 W Z R I t m L b A c l c V n 9 h b 9 L v e I I 7 7 x G M g E h W B 5 s 8 B G C n r t f a g g Q W i D P m a Z M I 8 Y Z l C r n A d w 7 t Q E E k F N 3 0 m i R d 9 V m / v b 6 t p C D R F q z Y 3 c B m L p I R R o 1 i X D M T P 1 t H D w D 5 9 9 H T 3 6 Q B q B l J t C w K n B 2 a 8 U J j o g z z b N Z F 1 2 h C q h M W F O a 0 r t 1 0 7 B V f p U u d 0 G Z i Y j i A z T 5 6 K f 1 h 3 I 4 E Z + A 5 F I H w m a n G E y 2 W 3 6 Z 4 G B N u K J B N Z J 6 9 r K u V g r Y 2 p 0 G j W 6 K z q I M J S M I 0 D f b z A c Q q v T w f 8 F k s L 5 s a 6 I Q O 8 A A A A A S U V O R K 5 C Y I I = < / I m a g e > < / T o u r > < / T o u r s > < / V i s u a l i z a t i o n > 
</file>

<file path=customXml/item4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6 8 c 5 7 3 4 7 - 3 7 5 2 - 4 d f e - 8 d 5 7 - c 7 3 6 5 0 c d 7 3 8 4 " > < T r a n s i t i o n > M o v e T o < / T r a n s i t i o n > < E f f e c t > S t a t i o n < / E f f e c t > < T h e m e > A e r i a l 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 8 2 . 5 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O X y S U R B V H h e n P 0 H o K T X V S U K r 8 q 5 6 l b d n O / t n N V q d S u 1 o i X L s h z A A W x j Y 4 N J H h j y M A P D m 6 E H e G + A Y R h g E j z A w B A M x t n G y F G y l W O r c 7 w 5 h 7 q V c / r X 2 n W r 3 R b 2 / O + 9 0 / 3 d q v r C C f v s s P Y 5 + 5 z P s f P 2 N 7 S c D g e 8 X i 9 y u S x a 9 Q b c P h + S q S R i s R h q l S q C o R B c v G d m f h 5 B X g s G Q 9 j c 3 E K j X o f D 5 0 G r B b S a L T j 4 x c H 7 m j w P j 5 v f n b z W g t v R R A M e / P q / / g h C X h d O n n w A Q 4 N x P P O N b y I a D c J R b + K L X / w E e n q 8 z C O B 5 c 0 M H n r o I W Q y K V w 4 c w 7 7 D x 3 A F x / / C g 7 s 3 Y s 3 f O 9 j e P Z j f 4 R Q X x 9 e P v 0 q + n q 7 U a 1 W U a h W 0 D s w h n w m g / v u v g M L C 0 t Y W V 5 B x O 9 G t l j F y M g o W t U M W k 4 3 r l 6 + i o Y / i v 7 u B B b m Z / D A n X d g c T W J M 1 c u Y X R 0 F L V C C R N 7 d 6 N W r q C S L S D U F U E 6 n Y b L 6 4 f L 5 Y I b R T g 8 I S x v b M H r d q B a q W N 8 s A c b q S x C s T A 2 l r Y Q 6 Q o A L O v a 7 C x 2 7 B z C x a v T i I d D K O e L b M c O l B o e + L 0 B 5 u d D J Z c U u R C J x D E 9 N 4 t A I I B y L o 2 h o S F s b W 3 B F + k m 3 R w A + 6 Z S a y A c 9 E F p Z X 0 N 8 X g c u W w W f T 3 d q N V q q L M v R I 9 y q Y p I L M 4 2 5 + H 0 + e H 2 e u B j I f O L C y i Q 3 g G / H x G v G y 1 P E N V 8 D k 5 n i + X 6 2 M Y o i r U c a q U i S m x X q V G G k 8 + C X Z r J N 5 A r b y E W C S P M 4 9 L 0 F G 7 Z e 4 J 9 5 s C B y b 3 I k 1 7 1 Y h m + r h D O v v o M 8 s V N B B w B d H c P w u V j 3 7 L + x X o V r r A L z n o R q y w 3 2 n D B E 4 3 B g R a W V l c x P t w P F C o o u l 3 4 + N d X y X d O a 2 u T h 2 v 7 W w t O / u X 5 J v N q V e F w u d F s u s h v H j i c D T K j c i M h y H U P n x x H N p 1 D t t B A a n U N R 4 9 O k u 5 R P P X K D L p D m + Q N D x a X y n z E D 0 e 5 j G B X F + r k 4 Q p L c L C v W q R t y w o W P 5 O 3 m y R E k 7 V x s y z + F n 9 3 k n 4 7 H I N 7 2 q f 0 l z c 6 K B h o N O D 0 e N A g s z i c T h K M 1 9 U i f V A 4 Y P f w k x m w G b y d j W B S h k p s D w W K t b A v L X i d L t 7 e 4 r 0 N 1 M l k L u b 7 r o d 3 4 i M n 3 o C p 0 g o 2 y T T L a y v M l s L n D i J E x r p 2 7 R q + 7 / t / E F 9 / 4 g s Y 7 h / i P S n E Q 1 E s k f k m 4 z G 4 / F 6 k s h n k c x l j p G q V H c 9 G S v i r 5 R o O H D i E v u 4 Y v v T k 0 7 h l / w E y j A O v v n Y a 0 U g E g 2 T U 8 1 e v Y W s 9 h 7 c 9 9 i C W F 2 Z Q I h M 6 W U + / x 4 8 q F U I 8 3 o 0 P f v g X q G T S S L O M / / V X f 4 n 3 f v / 7 M D w y h r X V D Q r I J W y Q o U u 5 H H r 7 E o j G e r F r x w 5 8 4 2 u f x 7 l L Z z A w m E C a w h 0 N x y l Y T T R 9 A V y b n r E 2 9 E V D W F 1 P o n 9 w D N 2 D o 0 g t z 2 K d 7 d + / 7 w D W V x f Z n i o G B 3 r Y H S 2 k 0 h n W y Y t Q l B 1 d L q L M t m b Z y T F 2 f C Q c N u H R 7 w C Z 3 k 8 h q b J f N j Y 2 s L K 6 i Z P 3 P Y h z 5 8 5 S W T o w O T a C a q 2 C X J 4 C 5 g 5 R K Q a R z 6 e Q S q W x + 8 B h p D f W s L G y h K G x n V j P r C L A L n a R F l u F N D L V E p V G k + 1 J s Q 8 9 O H L w I J L J L W z m N 5 H M b S E Q i Z K 3 K 8 i W c 4 h T C Q f Z x 0 4 y u M f t B f h c / 8 A u h K k k A u y f b L F I / q k h U 1 l F K B h F w k H l 3 S q z j i E U 8 x V U T W F l 4 W n 5 8 Y m v X U b D k 0 C d / f H P B U q 8 5 U Q X y q i x 3 0 p i x x Z 5 1 Z i 6 y T p U 8 O a H 9 m B 6 I Y 9 X L y 3 j 1 j 3 D C H o L q L j d m L q + S X o 3 c N s t 3 T j 9 2 q Y e R C 2 b g t c X I X 8 y b 9 b B F f Q D x R I c p F e d / U G B s N J b r Y a V 0 d o W 9 E 7 q C J f L H e s 5 J R l x s 7 H i f 6 + H m p V a v c W T L X c Y E U + d w h h C w + k l H S p s B n W D C C U B 3 D 7 a j d D B Q l w 8 b n z y n A j U p N C x P n / 2 e / 8 R X / r K N + F 3 0 A L E A 3 h 5 + h I 7 j d q Y R A + G I r R 4 D h Q K B T J S E z 2 9 M S z O X E S r k k d 3 1 I d e W q J y o 4 r i 5 i Z W 8 h m E Q 0 H 4 q Z k 8 T r 8 J U q y r G 4 u L y x S Y K O v U Q K m Y R y F b w v 6 J S Z y 5 c B 6 Z Y g 0 r m R x + 4 i P / G q + 8 e h 4 h M v q D D z + K z O o s f G S u U t W J j S 3 l G 0 G 8 u w c r K + v 4 0 l e / T I t Q w Q y F u 0 B t K o 3 3 t a 9 + B a u r S w h 7 H C g X M z y y W F 9 f x F B / L 1 5 9 4 W k q h h k U 2 B F 7 d + 7 E x O Q + X J u b R x e Z q V G q I R g I Y z m d x B q R g J O m J E N h D d N q 1 F p N + F o 1 W u 1 + + G i p C r k 8 i p U S 6 e 7 h P S X s 3 r U L G w s L R A 4 u d F O Q A u z s H m r 9 R q N m 9 H K S 3 v U a m Y 7 a s 1 A o U 7 A C F L Q 6 Q s x b Q t d k X 6 z T A m / l s 8 g V c + z D O i q 0 Q A F e 9 6 C G X C a P W r 6 A H K 2 H n 0 i l 1 x + i Z a K 1 K R O B k M Y p C k o k G E F f I o o A n 2 h 5 n A g F Q s i W c t g 9 t g c H a Z 3 E Y B 6 K A j k S f q c s q J s 0 K 2 F 4 d A A e M q y s Y T G 3 g n V a u E D A g 0 H W P 7 2 R R t 3 v w l w q h S A F q F R x I R E c Q p j K q Z Z 3 4 C M / + i P 4 0 h P P o k H G b D q Y t 6 w S + 6 B J v h K P u U k 3 K Z 8 m y I 9 2 j V 1 P A f M 0 H D h x r I 9 0 o S K r F V m P C o L k t 5 n 5 V V y 6 V C P q 4 v l y C U v z L L 9 W R o O W 2 O n 2 k y r M V 8 L k 9 1 l u T R q K B v v f J b M v Y e F l C b P x t + T 5 d c l J C + n 6 4 Y / 8 z K n B 4 S G c O H 4 b e h P d u L 6 0 a P D g v m P j e G h v C O 9 8 6 D D e f t 9 h r C Q 3 s J a t M E M H n L J I D R W y n Z M l V Y Y Q j 4 1 1 u a k p + N 3 J y i m 1 + N 1 F r R W j p u 1 y 1 f B z P / M R 3 H n 7 P Y S J f m x s V r B z / y E 0 n U F E 4 g N s l A s x Q g J p 5 3 y 1 R c 1 P W E a L E I 7 v w P j k A X z g R 3 4 C t 9 x y O / 7 m 7 z 5 O D Z n F C C 1 B k U y S T q a x Z 8 9 u V A n X 3 O w 8 0 X x + c R E F 5 n j / f Q + x E i S 7 i 2 U Q d j 3 4 w M O Y m b q O d 3 7 v u z A / d R 5 n z l + A j x a g U i q j q 8 t H A V m i t W p g o C e B M 6 + + g E R / F 5 V V l p C m h M t X L r C c M b R q J W y m V q n 1 8 4 S q X W w l L U V q A 1 U K x t z S C u q 0 H D t 3 7 8 L 1 2 a s o M V 9 / v A v n p q 9 g c m I c u W q a i o t Q s V p E l J o 5 F u l B p e X G w s o G + n v j C I S p z Q N + s / x + t q U m i E B t X i u 3 c O D 4 Q 7 h 4 e Y F 0 S y L g a 8 F D o c g X s v B R E r 0 8 n M w X j g Y t E I W O S g j N C q a m p + G n w o n G E 2 Q c i g Q V S K V e o 4 W S t X I S D k 9 g g d Z 2 e H y C c H s N D Z a X i F H 3 l x v Y I r M 7 i C h u O X I b r l w 8 j w D z S e f J i A E v f C 4 / 1 p M r W F 1 Z A D U C L W 8 M v e y v t a 1 N g / 0 6 e i I D V A B e B E J h 8 t A K L V O F Z b o R 5 7 0 1 t q / p D 2 J 8 Y B D O V p 6 0 c N D N 8 G K R 9 z V r S U L 6 Z 9 n 3 W d I m w P 6 s E d 5 R m b N u 5 E D j w y a / 1 5 v M g / l R Z x u S E v q p U 8 C 2 i F 6 6 + 2 P Y o M V f W K y y T 4 q k k w w F r U 2 B U I 6 Q 2 E E e p g j Q c P C 8 G Q b i L b o w E p 4 G X Z 1 W Q 9 z I T K m c x M N i d w e t o a X v I F C g c n I d v + / B U 6 + d P k 0 z e B 0 X r l x G g J j + + O 4 4 H j m U o F 8 w i r V N a l F 2 6 i D 9 i A c P 7 0 W 5 k C S s o E Y k l J T v J e 9 I S c J D Z 4 w Y n F q P m t W l Q 0 J F E 0 r 2 N g J c u H Y R s 8 T h v t I M f Y Q 1 D P Y R 4 x e p N S 6 e o 4 9 A r V F Y x / T V 8 6 j V i W B J o S B h n Z B j o 0 Y N z g 7 s o r / w 2 c 9 / n o y 3 a F o v 7 G k h S w 2 e 6 O q F g / d u U M D G C e f q 1 N w V E k R M O d 7 b j y i f 3 S p Q e 6 c 2 q c E 3 8 d e E b 7 G o G 1 9 + / H H 6 h E 6 U y f z T t G 5 d Z C J 1 W p D M 2 9 s 3 g C t T s x i n h X N T 8 9 x z 1 0 m D R P 3 y V a i x 1 p Z X C V E d G C R s W 1 5 e R 4 l 4 2 0 U t 6 m J n 9 C T 6 a F V 2 4 5 k X n m E + 3 a a 9 L 8 x O 0 Y p G M E / r F n O F M d R N / 4 j W p F I p Y 3 b x C n a N 7 S J U J Z Y X d G G b m 4 R u + u 6 j w A U 8 P n Z + l Z R u 4 O q 5 V x E O e z F E I a 7 T o m c z B c S 7 + n j 0 w k f L U i g S r p L p a + U m k u k C 4 V s W c f q 9 X V E / u m i V 6 x T u v o F R 5 u m i f 5 h n f Y H F 2 W V 0 9 / a i S n 8 x k Y g b l E 1 t 0 G o Q e s d p E c u E m o W t M v u n g A 3 B S 9 I 1 K G 1 M m E f v m z 6 W j 1 C 0 j h S h c Y a W v M n v b l o x v 2 A 5 Y a U v I t g m x N N i H 1 Q x N j h B f h p A V 8 8 w 7 j 1 6 P x J h K t J q E M H + Y a x v L c P N / i q w / 6 p U w n f c s g t X r s 6 T x w M U O v p e I k q b 4 2 i h W H k K p V s Q U 9 x O 9 i / T s j v I G 0 1 a 2 8 F B P + n n x t w c u Y + C B 0 J L B + n V Y B 4 t + m g O C h K N m Q m Q Q T a 2 x g y B r B + P l u 6 j 4 p H v R 0 Z u W 6 1 t S X L y P p O w m 5 L L S Z 9 4 L l M 8 V a b / U S e T l I j P W 6 x Z f 8 T F h u y l w 0 3 / h x p w Z m a G + D Z N k 5 z C i X 0 T 2 D n U h d 0 7 B j H W 7 a K W d a L E Y u o U J v k g H m o 8 N 3 v p w E Q / T h 7 d w w 6 J Y H G N c I n 2 s k V o 9 u s / / 3 6 8 8 Y 5 7 6 V P x X j q s G 5 k K 7 r 3 v Y R y / 4 0 6 s z 1 9 H j E I z 3 h 8 n o 3 s p n E F k C N P i M U I y l l 8 l n v f Q c m y Q K S d H B 2 m + r 2 B s r B 8 X r 0 9 T Q 1 H j s B 6 7 J 3 b C Q 9 i y s r K M I h k 0 T y i z v p H B 3 t 0 T 9 C 3 W q R B y 2 M f v 8 W i Q Z W c x 0 N e P k a E R I 9 T 0 / A q F K k J t 5 K b w L J s P s W / 3 J C q E P N N U B u F w z A Y N g l Q e K f o T 0 V i U k E F Q z k / 6 b J K + d T I W L S v L C N J X W 6 c A 7 9 + x k / 7 S h g 0 W + H 1 R s Q E i 1 M o + d l g 8 E U K Z s K l A + J X c 3 E B v z y D L D 1 E z N p F J Z a g s M s g V M t h K y 0 r 4 S I e o M b n b S e V A J g + x 3 E g k Z A o k T V 9 u d W 2 d v o j b F M g S a Z S n k C d 4 3 U 2 B l B L Y I P S J 0 v r N z 0 3 R O o D W k N a 9 X D F 4 O U y 4 u b I y T y u y h e 5 Y H D 5 a l N R G 0 m B n v l z F j j 3 7 M T 1 z n V b Q i 9 s O n a D V T R O q E o k Q d U R I J z / d A B 0 O a v U u t j 1 X o U V g n U Z J X 0 e L 5 d c K 9 N f Y D + M 7 q A R W s J F e p X A u 4 + q V K 5 h J L + P c w j U k 6 V c W 6 K / l s l R 8 j j D K 8 4 t Y z d d Q 9 0 b Z F g o K e 0 l m S I z f h l 6 k O I X B k B D 5 v C G I Z 0 z e J I 0 8 r C P 5 r h X F Z j J D w a C V K Z Z 5 H 9 U 7 B Z A a 2 4 S M b G s Q 0 g Y X + M M j a 2 f 5 8 1 b 2 k U N j B Y T S g p 0 t C p X c I p W l g j p + E 7 + o U L O b r p 9 6 z x 2 n h A 1 n l m m m K e G 6 y d 0 q Y O d 4 j 2 H U a 1 e v s 8 M r W E u m T O h Y U 3 7 W S K g w D u w Y w Y M n 9 m L v c B c O j H R R y / Y R B q V w c n + M T i U 7 w 5 G D s 7 y G D 7 z l A f z A 2 x / B j 7 7 3 H b j 9 w E E M T Y w g T F / n 6 W 9 8 k c 7 s B j J b C 3 j t t R c x T a i U o Q B E C U m K 1 G i p z D q F t E l I s Y r x 8 X F q u 4 z B o P 1 7 9 2 F 5 c Q n R r h i W C Q d j r N O R n f s R 7 y F 0 o m Z L Z 9 L 0 u X p Y T 5 p t E Y 1 W f I a d c / D o 7 R S q L f h p i d b p u A 8 N D G O K T E I 9 x P v o P P f 3 s f w i d g x 0 2 e 9 e + k U 5 d k q W Q p + i f 7 W e p E A S U 4 / S v y u X 6 K O R 2 Y u k j Q Y 8 K u y s Y V p 0 t 5 e a O e D j e W p z C t T u n T v o V 6 1 a L x T J L F 2 E n J 5 q A 2 F q S C + 1 X J 1 1 d 7 K X 6 u J w v w O j u 2 5 B D 5 k w m 1 z F g Y N H C G d r h M N O D A y P o r + 7 D 4 v L c 0 Q A T j K o E 8 m t F K 5 P z 9 l g g Z g o l d p q j 3 q y n y S 4 d U K a Y 7 f d R t h G l E E m 9 9 L y H r r l G P K 0 M h V a 6 r n F V e z a s 5 d l V w x + C l G U K Z w h + h B 5 + l X y J / Y c P I H u x A D G x v e a F f z e d 3 6 I d C W c n r p K h U N e I b 8 0 C f c 0 6 B Q J d Z k V C Q Z 9 x m g + C p s c / Y d O v g 2 D P Q M Y 6 N + D X I 5 W w l m F j 8 q 3 Q M i Z o v C M j 4 0 j Q x 8 z 5 C V s 7 I l R U Y W R y 7 t o X a o U + n 6 k m h 7 S m o K l g i U A M g 6 y I P y n g a y 2 q 0 E S k I Y a F W x p 5 I / W o l K j 4 k s W 6 T M V 4 a z S 0 h B Z N U l v E w Y T B I k B B Y G K g a J D W S P / a 1 C C 3 1 V / C Z V G P 5 v 0 0 w w O S o D a j 5 h V U + J T N / I x U f + D 3 / 7 p l p h i b S 2 J z 7 9 w h Q z T w E + 8 + x G 4 G n m M j 4 z j l T O n D a c X C 3 m a + g A 7 L U V i l 1 C u l 3 H v X X e z 8 d 2 I E S Y I p z d p E a K R I B k q j F k 6 + 8 + 9 f B q P P H A f W m R S B 6 3 N z M I a u n h v h Y y e 3 q p Q N q v o 7 f J b 5 S v U 7 H v 2 7 M E 0 f Z t e 3 u N m m V k 5 3 C R A h p Z E A x Y b m + v Y s W O S W t h H r B 4 i P E k g S W Z R Q 5 e X l t E g M Z b Z j p 1 j w 3 Q d 8 t S S N b a n i h w 1 v A R y h T 7 K n n 2 H s L S y Y i N j S n 3 d E a E G h M I U Y m q j 5 e k Z 9 F D g + g Y G y N A H 8 f k v f R k T F L Q y 2 7 a R T S F M Y Q n R V 0 l u E k q x 8 w N R 1 o G W z + c L I B y U t a h S C I r 0 x X r w 7 L n n 4 S e E L v J c j L 6 F i x 1 X p Z P c p I b s i 4 Z R o f K o 0 v I 0 2 d G O J m l a b W K F l m p o c A Q P 3 P s A p i 9 f R R f z j M d j 7 D Q q l r U 1 z M 7 O k s m 6 2 W Y n v I R 4 9 D b p z 9 U o 7 F Q U t C o a k A m H Q l Q E F U Q S g 1 h b m i I U D O D w 4 a P Y K p Y M R r p D f m y t L c H P 9 l + n X 3 R g 7 0 6 c Z V m 3 H t 6 D 1 y 7 N Y Z A + z T o F N 0 V I e m T f T r x 0 n j C c C m Z g e A Q h + j 5 R + s E Z 8 o D b 6 8 c a r X G r R Y h H 6 9 Q g r c W O N l B C R e g n v 3 Q F q Z h 5 X 7 W S 5 j 0 u 1 K p k T P p e E R 8 F s c 4 8 W L e a M 4 S z F 1 / h O d W I a K d J h T 2 x 1 6 Z l v n m Z 1 j n a j y J 9 + 2 K a r g A R i o b M m 2 R w L / 1 D 6 i Y i o v Y I X I 3 9 L e X W o B I V z / o 0 F b R G / 4 7 3 S w p l b Z o y S f y U D M j f l 0 u i Q T B L 8 o 8 k V H y 2 R a a Q c D l J 2 y a V t I N W q k X r J s E V v 2 2 b Q k s m z E w 6 7 7 r 1 8 K 5 T E X a u p H o P L c 3 9 t x 2 A q 0 I Y Q q z p I D S h V 4 C L F y / Z v M b A w J D N T f X K c W Z H p 7 a 2 k C / m c P H c W Q z 3 9 1 P z p d H Q 8 G k 6 g 5 G + Q f z g X Y / g / P R V T K 2 n M Z y I o J t + S T Q a o f 8 S I W F J Y P o E I w O 9 h E s 5 H D 5 0 i A w Z I C Q J Y 2 l 5 C R X 6 N R 6 f G K O B A I n u D 4 T Q 1 9 d H M 0 6 I Q s Z I r q 9 Y A 4 q 5 L L b I h K u p A v 7 q n 1 7 F 6 Z k U X r q 6 j O O H 9 y O Z 3 K A F b K K 7 p x d L t H 5 5 C p n m 2 Y b Y D g + h y 3 U K b 6 K X + L 1 c Q 2 9 3 N 6 1 K m b 7 R C j y 0 I s O D Q 7 h w + Q o G R 0 b o + 8 Q I w T Z s l C 6 v U b Q A 6 8 / O L F d a 5 t f l 6 A B L Y V U I n 3 z 0 G z K Z D E b 3 T O K F S 5 f g D r N j q e n T p M 2 e i Q k s z q w h S F + m x H r U q H l Z N G H l P t x 7 z x v x 1 S e e o d C R + X j y p f M v m 3 U N M f / n X n o Z B / Y f w C Y F t 5 v 1 D A Q j 4 g l T C n 5 a E w 3 C z C 0 s 0 K L 2 G z w P R 6 P G U H N T V 8 j E Z D D 6 N E u 8 f v X q J T Q I 3 z K E z + u p J B 1 4 F 0 7 e f T + t 3 g b i r N O 1 + a t k Z i f u P n k S 3 o A H c 1 Q 8 4 d g I f L R s 2 W K e b U 2 Q G Z 0 o s H / T x Q L y V B R e + m d h X p f u V r + 7 X V 7 W m x a b F s / H a 6 F Q D C 1 a r C b 7 8 9 K l W f R Q U R X o h 2 t g p O g g D 1 W A z d V r t K D s 3 / 4 B K t s K n w n S a n i Q E R / F q i i R v q v r e R M k + b g t c r D m v j T 8 4 K A w 6 Z u U s k b l x B N u 0 r v J + 6 Q E W R G 0 Z H 3 l 8 7 H P T X h 4 r 2 R A A t N J J i Q 8 / K x X g 7 D V L e g n i 8 g 8 J V w a o D C o u C 0 8 G j + 4 k W 7 6 6 n r 0 k Z O n T N r Y Q z 5 a k b r M I T 2 1 K h 3 8 e J T a s S u K s d F h m u I E T X q Q d S E + p Y 9 R q z U R p s N 6 6 d o 0 j t 5 y G I v z s 1 i m 3 + E h E Y / c 9 S Z 8 7 O O f w j e v X K T Q + 7 C x V U e o K 0 A N L A e v i C e f e R G j Q w k c 2 L 3 b J p F l M Z y s M J 0 q r M 7 P s 1 0 t C h E d 3 V I W m c 0 V F H J p G 7 2 h O j H M X K R m 9 1 L I 0 p m q 4 X u n N 4 y V T N O s h T f a j U E K 7 u e / / h K O T F B 4 4 1 H C h z S Z 0 I e B 7 k G b v N Z E 6 B 1 3 3 4 k c I d M C 6 9 1 g B z R a 9 D 3 I M B 4 K i 4 f a v 0 Q t K 6 u 1 u r h I q 1 K w E b 9 z V 6 8 S + u Z p C f x 4 7 M 3 v J 4 x c o B 9 R w 2 O P v Q v Z f M M E b W J 8 J + n S T Z 8 y h H P X L 5 A x i n j P g 2 8 l 3 K M i o M D O k 3 n / 1 S / + O 2 w u Z v C G h 9 5 K B R X G b s I u r z + M V 5 5 / l X C t g f e 9 5 w f o A 0 3 T d w D p e t 0 G K 3 r 7 h l l u z I a J S 6 S H K V o y 9 C a V S a V S o X 9 H 6 8 h r g w P y W V q 8 j 0 q C C i h A p S g G G a S P N N D X S w W Y o d D 7 s L a 6 g v 2 T + + E L R 8 h o p C X 9 H c 0 D + d i 2 F 8 + + i o P 7 j 2 B u e R n + S M y U Q U 9 3 z G h f p u / b 3 R M n 5 5 B P n H 5 4 C L e S W / Q 3 a U H 9 / F 5 h n R L 0 Q z 2 u M H 3 G C G G a w 6 Y c N J A 1 R A s X D n t w 7 b p G P g v 0 I w l L K Y h u Q r 1 c r o J E c A Q 9 X c M I u O M I + w k f q c w n h v d i N V 3 E 4 k b Z m F h W R Y z f n g d q D 6 W 7 e F R l R X j J B E u 5 a m C L f G J z U 6 y D Z k w b r J + H C K N F n p F 9 k R w I 2 u t T Q k Y p a u f N c 2 7 + p K 1 i X r R i 5 F F H V V C 1 P b V k t + u P v m / / 7 i T X 2 x 6 9 9 1 S T m l D 4 m U 8 Q W 5 d I Z E K 7 d J L V d J C Y N O m U z L w m u X h d c x + a v Y 8 Q V r g 9 J C 6 Z N 9 5 D 3 4 m + y d D w E K Z n 5 7 D 7 w A n c c e I 2 f P m r T x G + D O H u u 2 7 B / / j E l 3 C o m y b d F 0 Z P o p f m v G K T q Y V s n h A l S k h Z w B Y 7 d X x k l J D Y Q e c 8 Z k P G c r w T F O w E r U S K d Z H 2 C W i u p H + Y 2 r s f x + + 6 X V R B v 6 x I u W m j g p e u T q F C c t x / 5 z F 4 K A w 1 a m g b u a H v 4 S a E L N C C K G K g w v z G x 4 c I b 0 G B T N N n K 2 L v 7 l 3 0 1 d I Y o m X Y 3 F p D 3 + A w N t Z W c H V h k x q 6 F 8 P D A / S p 0 r S W I 3 j D g 4 / S h 7 l K A R 4 j 8 0 k R w J T D P Q 8 + g p n p e U T p w x w c m 8 Q G z y 0 n N 9 k Z H i R G E r h y 9 U X 0 R l x Y X Z 0 h N J 7 D y Z o f H 3 3 i U / Q x w o h 1 B 3 B 6 6 l U 6 2 B 5 j 5 L u O P Y g 3 P v h m H D p 4 C 7 b o x w 4 M 7 U C Y g q K o g i P 0 R / 0 S G C p B w S v x h A a G 9 N t N 6 6 4 R K t F R 0 R Q b m 5 u g 1 B I G J n D 2 / G k K g A Z h r q D I v p S / F y L i S B J a a 8 J X i j J L Z t z Y X C P U I W 1 7 E 9 i i z 1 k g 7 C / Q p / R 5 a F 1 K R d 6 T J S 1 S 8 J P o E T 4 f I H z V 6 K 6 U c 6 X u w i H C z P x m H h 4 v 6 + K K 0 F i Q x o S m g n W y F B 4 x K C 2 j h 3 x Q r p X R H Q 8 S A W w S x i 8 j E K Y g l p O 4 v r K I C z N l K j X 6 w u L Y b U m Q l + h w 0 H I w r 4 Z G 4 v h N w i T L 4 u L R o h 9 J 9 E s c K H 9 K Q H S b 9 6 m s 9 U 1 D 5 v o n y G e J z 2 o 4 X s l D G k p w G 6 y j C Z f X w / o y M 2 V o g v z d k + P f / e s f b W l Y N B 6 P w M 9 7 + T h I C z z z z N P Y T b i j F G a H l M r E u 1 Z R W h I m O W k 0 V K i y 8 4 L s 1 A K Z s 0 Q i C x 5 t p d M m i E M 9 / f x N 6 7 F O H y M 0 C D / h y s r 0 N e y / 9 Q R q m 9 M Y Z v 4 r Z A x N L 8 4 u i S G d 2 L l j p w 0 m 1 K g R Q m R + C Y A m L b 3 U / t e n l j A 2 G c G L r 2 3 g 4 N 5 h X L t 8 x i B b i M 7 v y E A 3 / u B z Z 3 F t s 2 A T y X D U E K B 1 + M A 9 O 1 G l x g p 6 o 4 Q v M f N v a l Q K w v g a 9 s 4 W G 3 S Y C d t o u T Q J r U n r T J P w l g z p Q h n J f J 1 + X h d 9 r 5 3 Y 2 K A D T Q s Q j E X x 0 o s v 0 6 q 5 c J 0 + z c h A H x Y z G 2 S u D I W S / h 4 t y 6 G x E X g I Z + p s U z j s w w r x f 7 q a o a A 3 E C E j J c K 0 n K U S H X E q J i q I F I V H E N j l 5 M M U / H y h Q d 0 T x U B X L 5 k t i w q Z v k b 4 K + W W y 2 2 h 4 q j i o c M n M E a L + P x L L y G h / i M z r 6 + t I t o z i E k q p i v X Z 2 i N 2 g y + S s Z f S S 5 T a D Y t o s L D s n x u Q i u 2 W d E M o z t 3 o V K s 0 A r V c I 3 + s J f Q V V Z H E z x d 3 b T 8 p F m 2 l K e F q t G H 7 L L R v w W i h 6 F e Q n b 6 q E H C 9 e G R I a z Q z 4 v S 4 m X J 5 E W 6 C Y 0 K L Z E i O B B C j B Z / n b 6 1 h / 3 V y + e G E n 1 Y p q W M J D T I Q 1 + X / p g i Q 8 T M X q E U + p 0 r J Q d O v 7 p u l k J D / G 3 m Y 5 P 0 m 9 Z S 7 F 0 k H R U S 5 n A o o q J u c 4 1 N 9 n N u f Z M W i c J M Y R G 8 b d I y S Z C d g n 4 s T 7 B Q Q q b p H g m W 7 t N A T I s C Z b 4 V e V 3 W v k W l 7 i R P N q h A H G 7 5 e Z I / 1 o D k s a m j 7 W f N h z p y Z P e p 2 Y V F G x b c O 7 k L a W r l G A X I S 4 K V a T U 2 k 0 n i 9 g T N t w / z Z J 5 Z O u 2 S 2 h B 9 H T G 7 2 9 m i u S W T U s t E I h F i + F k c p u Y s F q v E o w G z M A E y w R Y Z 9 m u n L + G 5 M 0 t 4 8 t l z 2 D U 5 C U 8 r g / X 1 p A m n f C b 5 Z 4 O D g 8 T 8 N T J P i U T v w + k r M / Q 1 y J Q h H 8 Y n e z B 1 b R n 7 9 / Z g e m Y B k z t 2 m f 9 T J M Z t u j 3 Y n f D i p c t L N O 0 k A P 9 V H D 5 c m N + i t g 5 i c j i G E q 2 s C D X A M j J b G 1 Q 2 X t Q I g Q p U F t 3 d v b S c X V h Z X k R 3 V 9 z i + C w U y k V N x c 7 d W F 7 n f R V a 5 w 2 8 / O I 5 p K n B n T 5 B 3 5 Z B 4 6 u 0 U G P 9 g 6 g S 1 t 5 3 7 H Y 6 z E 0 k m G e Y x x a Z L J 1 P o k S m V A 8 2 5 T g J Z r M u Y o l B 3 p P L 5 c 3 i y 7 n 3 e 5 3 s g y 5 K Y 5 W + D W E e P 6 8 v z L P j y q R j E p u F N H 7 9 r R / E / 3 r i H z G 9 t E D f k O c J X 1 u e K M r F G i 5 d v 4 L V t S 2 s J l f J s O u 0 / m U y / y o W V m Y Q p O O v C d n j t 9 z N 7 2 6 s b Z J Z y Y i z G 0 v 0 C Y u 0 d E H 6 u V H r A y n P H a O T c N I f 0 / S J X 7 4 Q 6 6 3 J 0 W A k Y N E e D Q q / l 4 K v o V Q h D g / 7 K s v 6 N A i 1 1 p Y X M E S / L k i f z 8 n 7 q q U a f 4 + T x q u E k P 2 Y n 1 8 k / 3 o x v 7 Z O p a v J d A + V s 4 8 I I k 1 F S Z r U 4 3 j x 1 U V y r + y P m N d 4 W T / t t 0 L Z K h o U I Q 8 q 3 E h z Q 7 J F p V y B A i P / q W a R E u 5 m 3 U Y 8 m x p g o I L T t M S N z H h e 3 y U Q d k g o y E s a E J G l 4 9 0 8 T 4 F j 3 k 3 y p P l s v I f / K V C 8 R t 6 T E C q Z Q N 1 6 2 / F T v / i L v 4 r 7 H 3 g U k / u O Y H F p k T 5 E D Z u 0 K h r W j E T C S C S 6 b X w + R A F x U 3 o l b A N D Q 8 T u J c K m M o n s x u D o K J 1 d h b 2 Q m V v U A M T M 1 + e u I c p n J P G 1 R h l v e + z d + A J 9 G 1 l i x c L t G e z B 8 N A A r k 7 N 4 O 4 7 7 r R h V k E R R S y M D g 3 i 3 I X z 8 N N 3 m l + Y Q 2 J w F A s z G 5 j Y 1 Q 9 X y U l N K W 1 E 4 t O S a X Q n 7 v P g 8 M n v x X 1 H 9 u K 2 W w 7 g z o N 7 8 P B t t + H d j z 3 G e z 2 4 S m 0 9 O h A 3 O L m V 2 r B 6 X p u m 7 + a P o i 8 R x j q h z 9 b 6 B v b u 2 q G p S h s I u T o z j 9 5 o w C D A F P 0 J z U N l a X 0 j s R B y 1 O o p 4 n 4 X N X r A 5 8 I 8 G V N D O A f 2 H 0 S a 8 E 5 0 K 1 E j n p + d Q V f A h a 5 I n N q 6 g q D m b W I U F n a q R i D p t G K Y z K U J x R I Z U d C 7 W Q x S M 0 Y I C 7 v R N 7 Q X s W g P z 3 m w d w c h n q c L R 4 e P 4 Y + f + w z K p G m Q 1 s / r d y N I + F N 3 B r C R y u A D H / g h 3 P / Q o 4 S P 3 b j 9 9 n v N r 3 v + l V d o o d 1 4 2 x v f j m O H j i B X T O L 8 1 S v w U 5 s X K 3 U E u n u M u R V 3 W S L j d L O O m t R d I N z N N i p m 1 c X F g 0 Q E a + t 5 H D / + A O b n V t h / E 9 i x Y z f 9 E v n g A d K D i s z r I p 2 y 2 D 0 p n y m E f K 5 M Q R e M D 9 E X H c L Q w C h 5 2 G s x m 4 q E C d G i h Q J O / k 6 Q S Y l G q M A 8 o Q i + 8 v w 8 l b c Y v w 3 Y O o M P E i b j a P K Y J v 2 d r L e E s U l k 4 Z T g k M 4 a B F H Q N T x + E 2 6 N 8 N n z p K / O u 6 g g N E B 1 s 6 T a X 5 M U C Z B g H 7 8 y C 0 0 A U / d Z v g r F a t / H g 8 8 K t T V Y p 0 5 y / N 5 v / E x r c 5 M + w U C v j W Q 1 a i U y S I D 4 e g H x S B e 1 E h 8 K R M n s Z M o r l 9 B P G O c n X h Y 8 q / J e N y t 4 2 / F H U a F U d 9 O y y T F 2 E c J 4 6 A h / 5 U s f N + 3 v k K b b t R M X L s 3 i T 7 9 6 i Y 6 3 h k 5 b O N L v x g + 8 / R 4 k N 5 I I 0 5 I p V C Z C W P D U 8 y 8 j T K 3 W R b g o x s z R 2 s l 5 T 5 J Z 5 E 9 t 0 B o Q m 9 G C t q P H 1 + n 7 7 J 6 c Q I r + X 3 9 X F A F H H L / 5 5 a 8 h t 0 l q C A d T w 2 u S 1 u O o I E r t + s A b 7 s P Z a 0 u Y p r U t E f x 8 8 C 5 a R R J F G k b l K e B U q U b Y E q Y l X t 3 M m h I a p 4 8 4 u 7 A O F 7 V 4 m L 6 G J g 4 d Z L T x w T 7 C u R K 6 o j G E y S Q l C l 2 e P s H q K i 0 / 2 + l j H V Z z a W p / O u p s Z 4 5 + 4 6 7 u Q T T J e P J z y C V o 1 a h I i N M V j B p l H o 5 a j I q n g R x h R q m c p R J r + 0 p h W g P 5 s Y G w k x o 8 i w g h d o j O f U B w L 7 1 l A w G V k s 6 z f q T H W P + O 9 l w O t f 4 3 X 3 g W 9 9 9 1 L 5 5 / 4 R k C o z I h X M N C o T a 3 W G Z P A u v L K x i M 9 N B y t y j E Y Y t W q F O h C Q q 6 x K z 8 l 6 M f 1 Z t o R 9 Z r 0 l 3 l K 6 p g I E 7 U s D w L X 4 D I h n 2 e L x S x a 3 S M i t h H t 4 D w k m j B 5 W n h y p W r 8 B J t l M X M Z H 7 F H T Y d Z U S i 7 G 8 K F D U x k U Q V s 0 n g z J V l J M g H K Q 3 3 s z 9 6 a C G T + Z J N j 2 h g w Y b p 2 T E N 9 q + b 0 D Z A m F p M p t H k P Z q b g u h b 1 e Q t 7 2 c f S D h k g d T P S j Z R T N g n I 2 V W h 6 W I n y R I d P w s A g Q a w K D w a a C M D M d r t F A a I K v S 9 R H K 4 K F 5 M c u P P 1 3 3 n D x 6 S k P m 8 a 7 2 v M 6 l 6 1 P s 0 B j W k x n s n B j j X Q 1 a m Q g y N K N u X 9 h m 1 Z s N h f W Q E M x s n U y + M H 2 F F u A 1 M k U B q z P n c G 3 q G h Z n L r B N L p v R l 4 P t 8 T i Q 0 Q B H o 4 R V + i X N u h O b 2 S I e u v s W O M g w d T K F N L o m k R d W 1 t B D P 6 X J j q 2 T E M V i 2 T S T B j I 8 h E V J W p N N h e R T K 3 Y F P f C T 2 d V p 4 W A Y w R A Z N l 3 C w 8 d u w 7 6 x H p y 5 N E W f 0 E M G 0 g i h C 3 l a t Q t T y 1 j l P X t G u 7 B Z B N 5 6 / 0 l E v d S w x N k J w R 1 q S T n d K Q q G N F C a j J O I R 7 G 2 s Y W J 0 R H r F I W 2 B G g V F 1 a W s X N w y K Y S X r 7 4 G h a W N 6 i J e + E i j R y E V D E K n 6 K s P W y f J j 5 X a A W 7 W M Z m L k O m j V u 4 z i q d c P k k 0 u a K o t B w b 5 B O u d e v k C s 6 z m 7 6 k 1 E v H K R h t M u P T I H M r G F p d 4 h w u G Y W M R H r s e g K w T j Q U r m Z T 1 e w C 0 X S 9 u z F M + h K R L G y u U Y r S C H h O Q l Y h B B X A b o N a l 1 F 7 7 c I R X 1 k q 3 B E f o K D w l N k 3 l u E p H 1 U Z p u G T I J U T B p R y 1 T z 8 A b 1 n c z u o D K J B S g k J X M N J H h u + q j i m S 7 y 0 s L S r E 1 L p H N F F O p 5 9 P U M 8 B m X 0 e / I w d t w 6 4 E T h L a 9 t L 4 R P P b G 7 8 H 5 c 1 O 4 4 9 B x P H j i K N 7 2 w E k 8 c v t x f O Q H 3 4 v 7 + P u z X 3 / G h K B V o I N K l 8 M Y W a i J P F 6 i / 0 X c S Q F q D y o 4 a N 1 k 6 e R v O d g H l D 7 W T K J J x t e S F P J S Q 7 6 Q S Z C S J I t 5 8 n D S K C g P I Q m h B 1 P M u l c I r E Y X g 1 D P R x m o 0 1 h o z t S e Z r 1 c D 9 9 7 y 6 k S T 9 b p 9 B b I u M K O m l t R 5 L N 8 p P m l V W o W r 4 0 U K U K 5 j 5 Z i i 4 I g K 6 k J R E V 1 W 5 x d t I v + 0 C Y Z J k l / q A Y P r Z y G b r u p w T Y p S J N 0 W M 9 e u I R j + / f g u Y v L V o E G V U P d T y Z C E Q n 6 L T F F i r P 5 m 1 s Z d N M S l a s V b N A X 6 O t L U O B j i L G 8 J J l H 0 d Z 5 E t R D R l i n d o 1 T m 7 q o t W o 0 y Y I s F D 3 8 + S f / C W 8 / u R 9 f e e E C N R r L o b / k o Q I Q U P z r 3 / 1 P 6 G 4 l 4 S p u Y H 4 l g 1 v 2 H 8 b X n z t v I V I O l w 8 t O t 1 O W o S Q z 4 H 9 e / b Z s H 0 P H X 0 H O y F N b R n v 6 k e R v t M C p X H / 5 E 5 C R D I 8 L d m 1 + V m D H 7 n 8 B v 0 r K h D 6 j X 7 C Y c E l 8 r 1 N N 3 T H I t T 8 Z Y u S q P K a J s L T x S 2 k K Q z d p G E 4 H G G 7 6 4 R Z N X Z U g J 1 L u E G / q k p t 7 K H / s 7 6 5 S W Z o 2 Z C + 0 x u k A P I Z C u q C r K F g H z s 7 R r h 2 e f o V G 5 2 s F O l P U E C n N e h D 5 Z O j P 1 c l n X Y e P I Q q f c I Y l V B / v A 9 5 9 q 2 X P l F / / 4 D F w y k C P s L + q N H S p r M p 8 6 M U h Z 2 h M E k r R 3 w h K n F C O 1 p Q H 2 F 9 m L 5 m l Q y c z e f I 0 x V a H s J + W t 8 W y A P R B G l C B R B w 2 / 1 R M n m Z 6 E a j b 4 r 8 O H 3 u Z f r g B Z v 0 v n D 2 J W w Q w T z 9 3 G l T m i 8 8 + z x S r Q o + 9 4 U v 4 r n n X q b C W j Z r o 4 g H T R g L I T X Z D o U R N d l P Q o j y y S 2 S g n X W I I S D F l M y o + k C x Q L a c g z W z O a t K E P y q U y k S G u T K Y 1 + S I i o Y N 0 + C h b v c 1 P 4 G 6 S l h w K l N Y J C X Z p Q l x z Y G i n m q 1 F x x + + c + o n W Z i a L k L t F w Q m Q o P 2 o U k h k A h W D F i a M 8 b P y m + x I j Z C N U z C 2 q A U W Z 2 c x O j J K 5 t 8 w Y d P s + p N P f s M m X / u p j V J k + G g s R k Y q Y X x i N 1 5 4 9 R n D / 1 0 x L 7 5 x O Y l n z i 6 b d G v 0 5 T d + + A E K S M 4 C R b V M o 0 5 s H K B 9 H h k d x o s v v o w u n l P Z c U K h C q H V 7 t 0 7 8 f J L L 9 m 8 k 7 S c 1 v T 0 R E g M D y 1 U d B S H j t 1 J C D u I Y n o V z s g g 4 W Q E t 7 / p 7 c g R t o R o j d 9 6 5 w H c d e w I z k 8 v 4 a 8 / / x R x f Q z J 1 T V M T O w g v A 3 i 7 O U p 1 I j x F U w Z Y K c V S Y + W m 5 1 n k E E T f j n 6 X n T K y e A 7 R y J 4 0 + F B 7 N + 3 G 5 / 5 p y 8 g T k j c I l P F 4 h K c K v p o h R Y 3 q Z Q o a C U q r D h h b J o M P h r v R o u C 0 C j n s Z J c R F / 3 E A W z S S R R R 4 U d n M 6 V y L R h t s 9 P q 6 3 h b B + F u E K B 9 W C D 0 M 5 N O O J m n / X 1 0 H p s p s j j i l A o Y T Q x A C + V W S Z H h R E I E R Z V M E I L 4 y b T f / X Z b + I 9 b 3 4 r v v L N J x C K x Z F J b + K u E 3 f g + s I S N t l + D Y 4 I V m q E V O V s U V l 5 y I R C B 3 V C t O 5 4 F 1 K b G / R J W 7 R U h H J a + k F B d N O u 9 c X D F B A p u g I t o I J m H R j o p X 8 U d R G x z N p c m a I i B K 9 q v C d A a B 0 O d 5 m / p o h 9 5 R f 2 h 5 F p d e M r L 0 7 B 3 6 D 1 8 J b x 4 b c e x K e e e A X r G x J Q 8 j n r J p / c R w v c o m B o U E L h T 7 V s l u W z V F 7 T A I n Q k w a g n E E v 6 o q K I X 3 I 1 C Y n E i T e x C 8 8 x f s 1 k q c B K C 0 D U m p Q + 7 k o O A 7 S 3 k W l 0 a S P r p h N l C g X h I S S D W V n i c / J k I l G s o y u B + 8 5 e s r D v D W S 1 9 d H 5 5 e + z 1 Y q S c c z i R 7 + 9 r C h m q z N Z N P Y Q b w t W T 5 7 / g p G x k c t E F a O 9 N j Y O I W A J j 6 T o q U h V C P R A t R 8 C t n v 7 + 0 x X 0 I D C A r q z N I S 9 t O i n J 5 e M 3 M q W B c g 0 9 2 6 o x c 9 h F W b m 0 m s E P J p T P 4 S f T b B r g l i c W l V Q b E Q I c S 1 6 T m z S s F o U A M 5 F h c 2 u z S H n q h W r a Z Q T i 1 g Z e Y s r k / P 4 l / 8 2 n / G f / 3 z / 0 W L Q G a k O v r z X / o x T A w F U C 1 t 4 d k X X s T k n j 1 4 + R q h U M N h w b M r 8 6 s Y H e h B e n O d m J m w g o c m L 4 l H 2 U n s C B K b Q I L w x 2 s j g J u 5 J q 4 u r C D q o Z C M 7 u I 1 W i F a m p M P v Z X w p w v J 7 C b W C O v 8 t G 5 O d l I i H k O R 1 m d h q Y B Q y G V M q U n f G H 2 M C u G u Q m s k R H E y W 4 j w t U S B a / G u K A V F z O i m q t V I W D 8 V V x 8 t k b s R x P c 8 + k F 8 4 P 0 / i o m B S b z 5 T e / A c 0 + f R i 8 F N r l W w K / 8 4 q 8 i 0 T O K w l Y F f / C 7 / x N / + O e / Y y F O i s K I B G O I U t m k y S g 1 o g o h D v m M 8 n s S X U P w O 0 M I B b o w N j y J W r m O 8 R 0 T S F P w 5 H v k W 6 w 3 a c F W 4 a 0 P f i 8 m x v c Q j f R S W p y 4 9 c h x 7 N l 7 A E l a 6 H R 6 o 4 1 U e u L w h 4 I G o f 2 E p Q n W r 6 E A A r Z d g 1 0 e M v + X z i c x N 5 N m e + l v O Y p 4 4 J 5 J n L / 8 P B Y u 5 V i n o P m x g R C F R Y K U U + R E n e V T m F J b t C r t N V E S Z L J 3 + 5 + 4 n s K l F R A 2 E a x Y V A m D z J V B O y l I E w v e 3 f 4 r / i c U 4 X d N 2 V B J y 1 2 o 0 B p J O N V y 0 s k e 5 K / 2 J 8 9 J o o S M J L B v e + O d p 3 z y Q a i F L 1 y 9 h h d e u 4 g E t Y d g l S z M 4 q K G L d 2 0 R m M s r I X F p Q W b W 1 H 4 k J f W R f 6 M o I H g n m C Z c H a m U M b g 6 L g 5 9 3 M z U y b x a 9 S i Y 0 M D N u j A W m J 2 c d 2 c Y o 3 U X F 9 M 4 f G X L + F 9 D 9 + O t X Q R S w v z F G Q P C R 2 0 U J A q T f Y a o c r E j p 3 U m N R y r I d G D x e X V 1 n H O P 0 T B + q E Y o m u B I V 3 m Z A n a t o p R Z 9 h v C e E B 2 / b j V / 6 k R / C g K e K l V w K R 2 + 9 A 9 M z V y 2 y w d / M 4 O i B 3 R S m F d w 7 O Y H f / + 9 / g O e e e h K / 9 3 / + B u 6 8 / T Z M X b 2 M j / 3 F H + F v / / 4 f q L H C 7 B 9 q S r a r R X p q E r U l z E A a z x G a t l o l e L 1 h V G j F r k z P I L 2 + T v 8 J y B F C K d J D A w c a L i r T 9 9 M Q v X x X q j 6 E i N d V 9 3 y 1 j I o F t j Y J f w O Y m r l G J g x h m Q r J z e d c F M T 1 D H 2 Q R J z 9 J S i W s X 6 6 c P k V / N 2 n / g r X 6 C u 9 + M r X q A D p d 1 a y L C O E f 3 z i k 3 j 2 / D N Y T s 7 h r / / q j 6 m A F G f n Q j 8 h 9 u G 9 h / D q x X P Q o s O B / j 7 C o R Z S 9 B O V N B K 6 T m H Y S K 9 j Y 3 2 V U N p p 5 3 a O 9 9 N P i 9 h 6 I t U p R w W Z L 5 J x q R w 3 V j a o B C I Y H h r B F J X e 9 N w V s n z F / B U p Y q 2 x U v i U A p A V g 9 n X p 3 C v n A U H P H d 6 n b C Q x P K S c U n H I N H E / l 1 R o i M f F q 5 R g F j H O o W o Q T i s U T o x v o K M m 7 Q + L U J i C Y 8 G y g Q H h c M 0 W m z f N X B R E y S T j h Y E l H W i G L D u N h A h I S A 9 b o Q k 8 b w J i 5 7 X Q W U q S K i o C Q X Y U h X Z 8 / o Q j 1 n a F k r L a + d o 7 J S P G l F 4 d G k t j f v u u Z N t Y s H E 4 3 N T 0 4 Q O O f p T s l w V + i / r N g p y c N 8 + 5 O l w X r t 2 h Z 2 W o P U g R 7 F g x c f J k b X F a + k s M X A G J w 4 f R I b C W q E 2 O n x g H 8 1 7 B a t r y w g O 7 8 a l 2 X U S j 3 i U 1 a w R t y q M a H e M E I 4 E j 4 Q D u D 6 z x M Z U L M r 6 l l u O o F J O G Y G X F r W 2 K G E T j m p 4 m B p v b n U J A 3 1 D t g T c R u c 8 I X Z c C h 5 a S k V j y E q 6 / N R W T T J G Z o v 1 a G F 9 a d G s q I P Y P e 6 i z z D U i 9 / 4 r d / H W q q E T 3 7 h c U K k l + m N u f A n f / s J m g Y F s d J K a s a e F s J m 3 2 m K X d S A G p Y t N n 3 Y S G 7 g 1 v E g 4 R t 9 l V w d 1 y 9 c Q C 9 9 U S n K Q i V n 4 V Q D i R 4 k N z L o Y q d 7 C c n c H l o c K o i U J g 2 p Z T c z O S y S M S O h h E G n w 7 s P o q 8 3 j h 2 D o 2 b J G p U i d t G v U 0 S 9 9 o U Q / C G R 2 D Z a N l r 1 u k M L + M j A V I I a A J F Q a f T Q f B b S 5 e R d D 5 L Z F 7 B j e A L L s 1 O E W F V j T k 1 6 u u i k Z 8 n I V O i k d R 0 p W q 4 I f b w 6 L a f 8 C k 2 f L F F x 1 L T E g j 6 P f K Q R u g h U E Z h b n k a h n q V c F X D p 0 m k y I m E d I V x V o 2 y 0 I y 3 6 i 2 M j O 2 j t f d i z Y 9 z C 0 F C T n z a M T z 0 5 R a V D B i e T i q 9 f e f y z e O 8 7 3 o Y u X z d + 9 E M / a c J 8 + 7 G j + M l / 8 R F 8 6 h 8 + x z 6 o w 0 n a N 6 m o 6 d 2 I B d p M z b 4 w I T H x F V k o S O J 5 C o r 6 w G L z K H S e g K C n F F d b E v j V z k v Z C T Y q y T c z I e Q 5 W T u i O e t v p 5 w 0 3 m N h U H Y n U / s R f v D f / / 2 7 P 9 / K U W j q L H F j q 0 A c n s F o P + H X Q D + + / u Q z d M r H k V P Q I 6 V b V i M x M I o c t Y u C X B U A W a Y A b f H 6 2 I 4 d N j m r 2 p 0 7 d x 6 T h I G 9 d H C / 8 s R T h A 0 O 3 H X n S V q Z D S O Y I M C h Q 7 v x y a e n 8 N U X r 1 i H N m j t v P R Z / u j n 3 4 P X L l 5 E L O z H 8 M h O Y v I U 8 9 m N R x 5 9 B G e Z 7 y f / 4 T N 4 6 1 v f g p e e + T p 8 k S 5 s p F K 4 + 4 4 T O H 7 8 N h T z N X b m J U S 6 / L j 4 8 h M 2 2 d k 3 u h O L c 7 P o Z n 6 b 6 R Q 7 u G 7 + D X w J a u N 1 x A I e p C n A O W r 8 L O l w + 4 n 7 E e w e Z n v 9 + K f H v 0 x z X 8 H X X j x P Q 0 J / j 7 4 J 6 C A 3 y c S G 1 U V I K R L S R s I g K K F l K z 7 i / 8 c e 2 G H z W 0 n 6 n t 1 j g z h z / i p h W g + d d z d S t p A v Z v 5 S t p R E N J z A m x 7 5 P q z O b + L h N z y I M u G l J t r / 8 L / / n 0 Q A m z b c 3 K o 7 s H u X o j U 2 b L u A u Y 1 V H N 1 / E I v 8 D N A i 5 m j d s o R Y 2 V K N V o 2 w i t C o U d X k e w C + W h J V 9 n 4 p t 4 V o p B d Z C u 1 d t 9 x G H 8 W B L 7 3 w D e z o H w Y B F e L 0 V S 8 S O n e R 6 b W l w L W 5 O f p j T l r P X r o A q + j p 6 b V V v o r q q J K Z F X U f j 0 b Z 7 i a 8 D k 1 L e G w U W F H e g u Y 7 x n b L c G F 6 e h r O u g v 7 D h + h o D n M N 5 u a I Z 3 C P v z j k 9 + k A i Q t m T R N o D H o G G G v p j o O 7 I / g 3 O k N + p l U G G S c G n m L c s 7 y 2 l M c T c J O x e q J 4 S 2 x D y Q H G k 4 3 H h f T i / 9 5 2 c R n + 7 d d k q A w T / N 9 + F 3 J B j B 0 D 8 8 p 8 k J C p i F 6 J 3 l T k 7 g 2 5 0 S / u N G S l W Q d t 4 u 9 k S d / u x 6 + / 7 Z T a 9 R k i g V L p Q u m k X y E J + r Q B J k w S g s U 4 j U N C s h x W 0 1 m k C J B F F u n + R B V S o 5 s g N i 7 T g Z Z J 8 z p 7 u n B r s k d W F l a w s 6 d o x g Z G 0 O X 3 4 2 Z x W U b X k 6 l t B a H T n C w i S D h 4 i y 1 n o e E E s O + 6 e g A 0 o U q / a Y h Q k R q Z Y 2 I e Y N 4 4 f l n 6 I + N s o w y 8 9 0 i t A B G J v Y g n y 0 S 2 + / E E 1 / + I o K x B A U 8 S a Y j Y y W X 6 N 9 V k C 7 W j B A 1 w s Z i O c f n Q m y X D 1 l a L U F V B f V q A d 7 o x B g F u s p 6 N v F r f / B R f O H J V 6 j J l z C 7 Q q v M N m r Z t q N R J r z w k f L s U B 5 S f 0 3 b E k e 6 j p z j a e D B W 3 f j 0 b v 6 T b P N J A l J 6 U / N T Z U Q o u U V y / g o U N H I A J Y 0 O k Z r 3 0 3 Y O T u / R q W V R K 2 4 h F d O v 4 B X z z 2 P v / / M X 9 O S b s D h C W J i c B D d i X 7 M E Q o r c v 7 6 6 i o t M K F w o 2 r 0 0 e j V R q a M b r b t 0 t o q V q k Y D + 7 b j d N z O V z c C u P e / T F s 5 N Z t B y f q X l r N Q f q U 9 A M J T 4 u s h 9 Z R S Z P r / F Y 2 h b 3 0 h w r s b 0 V / 1 8 k 8 6 4 R V X b T k i o x I r y X x 4 N 1 v x W 4 i j F s O 3 4 X Z K 8 t 4 8 8 P v w K t n z 5 D h y + Y r F u s V I p W k r e l a I g T P 5 t N o u r Z w Z X k T / / D F p / D C u T l c n F / H l Z k 5 k q Q 9 7 y P t X 6 e g O 9 g e z U O V 5 M c Q N W 0 m U + a / N V h 2 r U 4 h I H K S J j O h o q S Y P 9 R J V H L y D e 0 M B c M S P 9 r f 2 n / V a 7 a T k g R C 1 3 i f h E f 5 d Q R V y Q R L n 9 v C p g l 4 T e F Y s C h P a S C w y T x 0 X 8 e q 6 a / r z j s O n M q b R i R G Z 8 Y a O u + m 9 h R c U 3 y e V s X u 3 r 3 P Z v e 7 e / u R p n X S f g U t C l O B U K 6 n p 7 1 W S H F k l V I J g 4 Q A M T q f G k x Y 2 c z Q O e 6 i N F c Q j f c R M q b p E 4 U J + T b Q S w t I i 4 9 4 L I J X r y 2 i R l W m 8 I 6 H b h m n t i c U o H B p 1 a t 2 K n r i y a 8 S K o X w q c 9 + A o c P 7 c H M 9 O n 2 m q b 1 J Y Q J d a 5 d f M l i 2 F 5 6 / i l C l y w 1 Z 4 N 1 K x B 6 K s D f Z U 5 v t V x A i T B D U K N C D R a P h e G K 7 M D b 3 / E h 3 P v A Y z h x 4 h 4 y 7 C J O v u l 9 + N O / / C S J 2 X Y 2 b Z i U w q h B E h u K F V F J Q O t H O / i b T C c t K S a d W s 3 a B K 6 r n k a I k C f g 9 G O K 8 D d M 5 a R l + 1 q 7 4 6 Z f E S H 8 7 E 5 E q D w y 9 O s o t L T a Z f q U J c K / A u k 5 1 D N A w Q t j Q M P 1 Z L Z 8 d s u m M 7 K a 9 3 H X j W k j t r Q / j x f O b 2 E + H 6 Y A F 8 n U f U i v N j C 7 0 c B W n j o / t 4 l D o / 3 I F r b M 9 9 R o 4 J F d B y 3 u 0 k t F e X 1 2 G k n C v U M 7 9 t t o Y b X a p P D 4 c X b 2 m k F H R Z 9 r 8 r l G u N l F p R m I h X D 9 + l U b x r + + d A 3 9 t D h X Z 8 7 R C o 8 T I l + j 0 s x S g Q W x f + c Q n x / G 1 F I G p 6 9 t 4 s p S C w v L U s r y Y 2 g V F C p E p r S B A z K y w o J a Y g h i K / k p T v J X h T C w S U a W d W k S 1 m r j I N 3 b F g v l I c F i J x h a E G S U M J k Y 8 G B f 8 a t 9 4 y e f b D O / n t Q F 9 q H 9 5 q F R P x M m 1 k X X l Z d + S y l a D r q m P t e z t J w u K m B t f K P A Y U W G m G D q O S b X 7 S c O n Z K G 7 u n t w w q Z U j P P i U Q U 1 6 5 c x x C Z X k s O t C B O k 5 s Z a v U u D U Y 4 i G F Z e J K M o o k 8 T Q j L b A r K i Z H T m S w W 1 1 O E U X k y l w J X + w k Z N n H k 6 D G L D d R Q 6 e h A N y 2 h k 8 5 1 F q 9 c T t l s t 0 x 2 O B T A L Q c m 8 E 9 f + h K 1 n Z 9 + w B o S 3 d 0 4 d G A v i a D V w h U M D Q 1 g Z X U d g 3 1 9 F q i q e z S s f f z g L v p x 7 f U x k X C X M a a b g q n R P S 8 J o n 3 j Z F h i t B q K 4 f P R 6 l y / / B I t y F l 8 8 R 8 / j W j f M H 7 6 1 / 4 z G i W a e n U r C d Y i 1 D M N J K 3 G 1 N Z I b f h g v 5 m f z W O w 7 T Z c T A d 5 Y T 1 P n O 5 H n P X + / D e v 0 A K 3 0 D d I f y K 7 j o F 4 N 4 U r S m Y R r W T x 3 J j s H r E A X v l / G m y I B o K 0 W v O E U x E q I x f R Q c 6 C d 7 3 s p 6 G R Y f M B E 7 T G i o d b S p Y x N V t B n X 1 T 5 r M K V P U Q o j T 4 3 V G i Z m 8 W M T O 1 j v E + D 3 7 6 w / 8 O P / z B n 8 L u i X 0 4 e v Q u 9 C c G 8 e A 9 D + B H 3 v s T e O 3 V 8 / j J j / w c v v 9 7 P o h P f O 6 j t i 2 X 6 C c 2 U i i Y p j e I 6 U 3 I a 6 4 q U o S P p 7 7 3 f X g h t Y q 5 z R y + / I 0 Z 1 B A h 3 T x I F p s Y H I j g 0 1 + 9 j N V M h f z Y t u J K L Q s r E O 2 Y M z t D A w l a A a 7 v 8 o v a d K V 6 o s A q 7 o 6 S a 9 H e F l H S e X K b 9 i I + 7 U v 7 p H 7 q O Q k L / 1 s / b e c l g T D / i L 9 v t k I 8 a 3 x r U I + f p i z t f P t Z 3 a v V 1 P x h c 3 A S I I o + a U G l K K T S U b L k X Q s y J g R 2 3 X 5 4 x 6 m u 3 g R W t A 7 J F 0 Q P 4 V A 4 F k e Q z L y w t M A O H L F 1 L F e v X s X A 4 A B y 7 E y t D C 1 T c 6 j Q B v F 7 m U 5 r t V k 3 L Z b W 6 t i J H b Q + x P x 7 9 i B O g c q n K H i 0 W p q X y R G D K 9 J Y C x c X 5 5 c p h H W 8 N p 8 y 4 i n O 7 s r c B i Z 3 T O D k k X 1 4 9 v k X a N H i F O w e w / Q B r 9 M W B c q a y p p p l l 8 T y p k U o Z z g K R k x x P t y x Y p F f S s y W F q n z n L T 1 N S + c A x j w 4 O k W A N d t L Z t R 7 N p 8 1 9 P E 4 Y 8 / d I l W s 9 N M i E 7 T 5 3 J 9 m m W X H p L f X D D K l m n f a t j 9 N 1 G h O x + l 0 2 C r q a q u D i T Q o X O u H K 4 6 8 g k e q J e K q A g 7 + d / 0 k v C 6 C X 9 N C V Q c x O M s a M 0 n 7 e 2 q c W Q i k h R g G 0 c 5 6 9 d w Z H 9 h + G g s n n + 3 E v Y z C R t N b X 8 p V L N j 5 n Z J N v R H s n S O j W N S N k k J Z O H z F w h f J o Y H s f l 6 W f x V 5 / 8 M y w t T y O 7 u o Q v P f d l / M 1 f / w W V 5 x n k G 1 m 8 / N p z + P x X P k k u 8 9 I H H s M m o W P c H 8 C P / 8 D P 4 Z 2 P v Q O L C 2 t m n U C B k o V 5 4 s J 5 Q s k 6 X j m T t s E q J a M I 6 + 1 1 V 7 G R V D C y h I l 0 Y Z / x L / + R m r J K E h D W W Q M b m n 6 p E 2 L y U j u J k a 0 9 7 A P + V 1 S O d j d y 1 I Q D 2 p 0 g Q T Q C 8 r t C i 9 T 2 z v l 2 t + i E D j K 8 n j G o q D 5 r C 1 Z b S d q N / M 6 C 2 Z 5 O x I T 6 S 8 L V h n u q N 5 u k I p i d p k X Q p B 9 F 4 d e u S x o Z 1 b M t x Q 7 y n O v n f v b D p y p 0 y q n + S N B z v L 2 J v T t 3 Y W B 0 m A w c o P 8 z g c v n z 2 B 0 e A j 5 T N p C 8 e W Y B k N R 2 6 u g S n M 5 O D i E V U I w Q S u Z z 0 S i B + u b W + i O + M x h 7 0 r Q W v A Z b U S S S m 9 h c 2 O N m k 7 z M S J c A y 9 N y f H 2 W q S D i x r + 6 U v L O H f x G u 6 5 d Z 8 N Z y s P D Y j 0 E E 4 K I v Q y P 5 o 0 w t m m 7 Y + g G E J p 7 1 D f k I X W a G R S D r / 2 R p C Q V g o p 6 2 T N X 8 i H 0 q p U j y c E n y + E F i 1 q r K s H f / u V 8 8 h s 5 X m N R C d D 3 d g u a j u Z 8 L T p r R 9 t Y k u Q R N D t Z F q K 5 x V 4 + a 3 U Z q J b D v S j o S U p w Q i W N u k v U Z d v Z j Q h K 0 F i X o R O I Q q b F v q F 6 M c W y W h z m 2 u I e f w Y H B q 2 9 i 9 s a X u y C u H U H j z 9 8 g z O X F j B 5 Y v r h H L s U N J D d b H 5 F m N U 7 S l X Y 3 / o a G F + N Y f p h S S V 3 D C V 4 i b 7 1 o d J W r m z + W U c G d 6 F z V K K k P c a o h R a B a h q 6 c 3 y w g L e 8 u B j F v u n 6 A 5 q H q y k l 1 n h p o V m h c I T + O b L i 2 R T j w l A V K O o 9 O t O H B p A w N M k T H d j Z W t b S o x W C t m h o D Q U v C q 0 o L p V 0 a q 0 I R c J R A b l d d W f a k E R G O J f C z 4 V L N N 2 X v z X G U S Q t X B S c X Q G E 2 5 O 3 7 J E E j I e r f Z e g W J + S 8 x S P a d r r S b 7 j Y p H 9 W t b L A q v y j B B b T + v j X s U N i f 4 K G g p b a x l H 1 Y O r a h k W / N d r j e c P H B K y x M W l + k 8 Z g o Y p y D V q y W L q l 5 c W T W L o q h y Q T W t 1 Z 8 c n 4 D W R g X 9 I f p F c a T o N C a 6 A h S G F v z a M Y i S m k z n b a F h d z y C X j L 5 2 S v X M D a + w y Y B n a x M M B q y N V P r i s p m B y 6 s E R 5 W q c n Z L s 1 I K y w n X 3 P g H Y + d x H B P m I y e s k B F B W M q 4 s A h q 0 j f Q x q s S k J E F L a k c K B y D v W C F s C 5 o e 2 f i 7 R g R W 3 s Q u Y 0 I v E I x 7 q p 9 f s s 8 H Z t N U V f h v C I w v z U 6 S s o F A j Z n O 3 Z c i 8 V j M K w R H R p f B H M O m D 7 O y l p J 9 p d 1 j 4 k H d J s g k d t 7 d Z O 2 g R k a G g E u d Q S f c o 4 r / t s 8 n a d 9 V M H a h G H 4 K i 2 E 1 C I z p 6 d e z G 7 t G z L y z 0 s R x Z 7 a n q K U I u w s E Y 0 U A 7 i t U t F 3 q v Q n n a i b u R f M U D 7 u 7 Q y 2 Y w H 2 Y 7 t F q z y U 2 h / 9 a d + h t a D A p u n c P c M 4 c j O W 7 B 3 / 6 3 o 7 x t H j T 6 X N + y 0 P T C 0 T G V o e A B P P / c E V t N L m J u / h t X 1 W Y 0 h m M X v S X T j 1 T O L y F S l w R U r U c O 7 3 / p 2 f M + D u 6 E V C Y f 3 H K A i 3 Y E z F 6 d N u D 1 k P l t f x B o 1 y C N a v O e g Y p P l 0 r Z j R k / W n + L C r 6 S x S 2 F U T Q T C E V P y Z S l b K o Z t I 2 J J C E O C Q H b h M x I U C a 0 + O 4 L 0 r T 6 Q I C k k T b 7 T 9 m U r T Y p W p l H B r z e E U F X R J + + V n 9 b Q V 3 4 3 3 6 m i 5 f F s h Y b P q Q i 1 b V x L P C n F R T q 7 j h 3 Z c U o r U K v E y U d P n O A n f Q s y m G B I 0 O O 0 6 A X b P T R F w a G v V C Y x I 1 1 d x j B z 0 z P Y u X s 3 L c 4 q g j T L 2 s h j c G A I 6 d Q m M 2 8 h H P R j f m 7 R l n q c P X M W X T 0 J z K 9 R c L P t w N A Y r d x Q T w z v f 9 + 7 8 e U n n i V u 1 z a 8 G k 2 R p n D g / M W r u G V y 0 K I p N F m o 7 c E W q D U V j O h j 3 W p 0 o D X R K 0 J o 2 U M h v U 7 h z 9 h E s C K / i 2 y D A h i p 4 i y y Y X J y p 1 l K O Z K K D s k S i v 7 N 4 8 / i 4 8 / M I k + h l V V S v 4 q o 2 l 1 J d F V q w 7 n t H 0 x G 9 O 1 k m p W p c 0 7 C Z p O E g n 7 b Q i W t V m e 9 2 F R E A o p X Z E e R w U v 0 U c R Y g W A Q 2 r 5 M i i s e 6 0 K u U o B X S / L D Y Q p o A 8 l 8 F j G n D 7 Q R i E Q n 8 P j X L 6 F a o M + p q G c r t s 0 U p n 1 N A 9 / 0 W z e o b v r P R n z 5 i W 9 S U V 6 y S d Y n n / k a x n a M 4 i 8 / / h d 4 7 d o r r G 8 V I 4 O D 7 Q 1 s 2 C 5 N M S j G T 6 O 8 W 1 s Z i 6 3 c K h c R T g S x t L i J 3 u 5 R + s a a K m m g S l j 5 2 u U p N P 1 5 X J h + H p f n V v C l Z 6 + R A b U x D K + X N d 8 l l E C h o t L U K J s s p 6 1 N e l 1 S k 1 p E C R P j C U Q S F H D y X L 1 I K 0 C e s N F V 9 Y f R n Q J C O m m A T P U V v d t C I Q G Q t H 1 7 s j 5 S 5 k z i L 1 v j x H r Y A 0 y d P j T f j s r H a C b l x E + V J v 4 z p C M L x f z l D t g C R N 6 l L R z E J 6 5 7 7 j h w a n p 2 G T s G e 7 D v 8 C 1 I r a 4 Y Q / Y S y 7 t I S I X 8 K Q 3 w t 4 Q E x M p i v G q J U C k R o y W a M a d x o K e X J o 8 + g i d g s 9 r 7 9 u 4 j i q l j e G w S F 8 6 f w + 4 d k 7 Z c Y m J s E L F A i P j T Y 8 s K z l 6 4 R t h y G W 8 6 u R + v U Y A a j o B B F Q 1 1 l 4 i Z D + z d h W J m D a u b K T J Z k z A g b N Z H I 4 q a l b d t e h t l p N Y o 1 N T o T Z e f Q t a F Q C j B W r t s N b E 2 O 9 R O S S 2 a Z i 2 f F + x Y J z N f u r 6 B F 6 a T t M j s X F o I x W K J c v K D t H 6 m I 0 R t M y / i 6 h 8 / S b j t S 9 a R N m e x / V 1 J R C a v s E z t 6 E T 6 8 e Z 8 K Y / J E Q 9 6 o / 2 o e 0 g / F + 8 h o 4 h B 6 h T y G q 2 C I k 0 q t B z Z U p b K q Z 1 v m I K 2 r C 3 e N J L o 6 c f n v 3 y G i k Q d y n z l 7 F N T y m K 3 f S b V 4 / W H 1 d g O M U + T 1 n F 8 s g u 7 J w Y Q i f i x o W i I 7 B r C R A 0 R l q n 1 R D U e 2 a J 8 u A a V l 9 c G Z m 4 / c g K 3 7 D 6 A y c Q g U t k 8 t g o b V D p Z 8 k U f 1 j d K l r 8 0 / v x C m g r V h 8 2 U A 7 V C 0 Z S L k I 0 o Z k J A Z t T 0 i / m b R l M e 2 4 x s Q i B I K I R B f / j h u 3 q x u n Q B + / Y M 0 H 9 j f X S d v n t n M M A E j I / K x h v l x Z 9 i b 3 6 0 z 2 w X Y K l d v q I i 1 E + y P P p U X T p J t r Y 9 Y b t t q X j G C t B X j T 6 y L X I b 2 p a r L W g u 1 k X K 1 0 P e 1 C i q K x L 3 n + o Z G I H e 3 j A / O 0 1 I U U d E K 0 2 J r + c X V g g 9 V p D N F b c 3 t x + y E B U F O m r r K B F n p H + Q m q o H K 0 v z d K R p f l 3 a J 7 y I 6 Z k l e H x h a s N N H D i 0 D 9 m t J J m q h m k t d y C k 8 X h b t r e B 0 u A g 8 6 Q m / O E P / S A + 9 / V X j C 4 K x t Q + a W c u z x B G n E Q u u 4 6 J k S H M L i 7 B x 3 Z q X Z G G N e u V N L r 8 t K L s h L W N J O G M h 9 o + h v X 1 N d v 7 Q V s e S 3 M J M h Q o h H l q 3 e 6 B B P 6 P 3 / 4 M N e k s N X 0 B N M d t 4 o m U 1 l H s D n U c C a d k G s q O t q V S x 7 S Z o 9 0 Z N u F H o n Y Y o / 1 J g a E v Y L 4 6 8 1 H H 7 R 4 N E a p W M T E 8 S r T g Y F s W k K E y q N E p l h Y + s m + / b a b v 1 4 i a p 0 4 a 1 L F C 3 7 T p K W B 5 U 1 M I 8 x b m J C V i S Z J O l d d x q r / 7 o b r S 6 p O w L c K U r g g t f h + V G i 1 S u O V B S X 5 p d x h L m Q w Z w 4 E E l W M P Y b S W b A Q D E V r W B G G 4 l 5 D H Z X s N J r S N M u u m / f y 0 x 8 d y s o y 6 g / 1 B n 6 h D p y r 7 0 x h v W w F r 0 5 O G f A 3 W w Q Y G p A 9 M A F i 9 D t 2 M p Z m H 4 u / o q 3 d H a + Z r + v 1 u z M / k 2 F w K k q A F F a d D h y w F 8 7 B B C S X S W B H 9 1 j f q K / t s X 7 r p y 0 2 p 3 Y + d e S j + b C f R 1 b 4 z X z 5 m y o A 8 o V 2 c b P c j l m d + G w 2 J I R L 2 v Z O / 9 Y h r 3 7 F D p / b t 2 W 0 T l / n U O j V D m B a i h I 2 l W d v o s n + o F 7 W y h s u 1 Y C 0 H v Z V C M X o a C Q v 6 6 P 8 s L 1 q h 2 k x w d M c J H D 5 2 O 6 Z m F v H u 9 7 w f d 9 3 / C J W J H 7 f f f j / m p 0 9 T 2 7 V s D + 8 G i b 2 8 v I E 9 u / b T l w l h a W k R 8 U Q c 1 8 + 9 j J d n 8 2 R Q N l C d T 4 Z 8 8 8 P 3 4 6 8 / 9 z g e O X 4 L R k Y H U S j X z T f S t s k K h 3 H Q H 7 B V l K y / B H 9 0 s N 8 2 E + m m k G s D k R g d / G w u j 0 K x g s d f u Y 7 P P X E V X 3 / u C s q s s 7 f m s 9 E b k o r P t 3 V a B 6 Y Z E V / X B / K l 7 C o 7 S 0 z Q Y Q R 1 h r 7 f 3 D k 2 V E z r p H 4 S I 4 r y h y f 7 y c R 1 L K 9 t 2 L I X R V x r + 7 V 9 Q + N k C j 7 L P H w u H / 3 J I h k W 6 O 0 d R I Q + 3 / q 6 H 6 f P 0 o c q K R y 0 X V 4 7 s d 3 m S K h W K k / 1 6 f z + 5 4 f y 1 1 Z a d 9 4 2 Z n 7 H 9 M w U b j 1 8 D 7 5 5 J Y n 9 f Q k U N P d D g R 5 O 9 O P K 6 i y C 7 I e C t j J w y Z + k J H u d u D x 7 F S 2 v i + h i A C u p L e b X w r G J X s z O Z y 2 q Q H T T y K 0 m P l W I h 8 8 q C b Y L Y s l a i c b t i G 9 j n R t 8 L C n T g I i C i G W l P I 5 N 9 I + Q / y o 5 r M x T o J r a J Y l t k N D I W l T L Z n E a V L 7 K k z 3 Q Z m 5 + V 4 u V N 9 X J d v p W n + n Q P T Z M z u 8 G 0 U l T C a b 1 o 3 W r / v D Y v r / F f t U n H 7 J 7 p X T 1 m h + V a s J F + j h Z L 9 e P / 8 B b T s V Y u u a B N K s f J N H k j 2 i c P Z m j g + 8 L E e t X 2 L l 9 N o r n Z s d r B l y B k Z p L U X C m t v N V x 1 e K m 5 i + e o b l l Q j j X s H S / C W s L 0 / j h e e + T o L C R r H c 4 T h h o X y B E K 5 c n 8 L O X c c x s e M A 8 + 9 H p e b E y m o W X f E A L U 8 Z Z T q l 0 7 O L J H A Y 7 3 / 0 O C 6 d u 4 x b b j 0 C D + G A i 7 q r U n c T t o Q x R 0 2 / Q U j o 8 3 k I V 9 r 4 N h g K o k z B l d / 3 f 3 3 0 c 3 j q U h 4 b 1 K S C s I I 0 c o b r 2 5 r I J g 2 N o C Q Y s b P 2 U m g 7 q W 3 i m T p l U s f r M M L q + w 3 G F r t K A c h a S I h 0 n t / p 4 9 g + 2 z y v 5 R B 6 h 1 S + t I 5 + W l C f T 3 N F J c T I P F e m F x D p i R D a 5 q g s N O d D s 8 a 6 X V r b w t e + e g 1 z M x l m R 6 K p W O W 9 b T n b O L 9 d K 3 Y r j 8 6 n G I W H W q s 2 6 D c Z W Y G e 2 s P v 0 N 4 R 0 p f + k a M L H / v C K 9 j K t H D b k R G s b M x j v P e g r R R w O s M Y 6 N L k O 5 m G z R 8 i i n H Q m l G a E A 1 2 Q V t V K 8 S n Q H j v 9 Q Z w k E K 1 m c w S n V A 5 1 Y l g + J D U j 7 k J r G a A m l 0 j r 2 6 6 E b 4 Q / e 2 s 9 h K R Q u B F t k k t U v 2 d Y h S i i r v u G E B f 1 I u V 5 W U k k 1 5 k N x s U R l 7 3 U L j Z b k F y F 2 k q o Z I x E B V s E M K O b / W N K U j l z w / R S d a T N 9 r 1 7 W 6 8 k a R w d K 8 h E X 7 K z 9 J N b S F j e 5 i X / D 4 n L T F Y D w 1 G a A 6 q R T 9 R 4 U m K H H K 9 + 5 0 P n 3 J 7 / L h G p p T W s v U 3 9 C 8 8 3 i D 8 b H i D e H 2 w N 2 E Z S l u p X n r Z 1 h X 6 X d p M 0 c X G a d c Z B z W y F s c p R E k x f Z q 8 r b C x q u A b E u O 4 X t q y Y F B B r M W F Z T J 1 j U 7 n O A V D m r N J / 8 G F 9 b U 1 O s V 9 N P L s C k 8 X U v m c D Z V 6 K O Q n D w 1 h t Z D F 4 Z 4 R z N D P C 0 d 3 I h D v w 8 F b 7 s X C S g 7 p b A n v + J 4 P Y X N z l h q y b M G j E U W k k 1 l e P j d L o R G x 2 o Q z I n e S G G 5 b Q 4 m I N s F o v X P j 9 n Y n / f 9 L f N Y + V H f m r 1 8 a P D G M z g 7 R i t y V x T R 6 R p o Y 6 k 7 A Q 9 O o r d i m 5 l f o h y R o c c O E p b T g 5 Q L C V G a f e 2 4 O 0 5 e S R A f K S + u L 2 k U Y A 7 K j r Z P b + M q O t u 3 U X a 8 7 T N 2 2 D y f 7 S t t 8 X Z 1 e x v X Z F C E 9 Y R n 7 r Y k S c i 0 t V S n Q 9 z 2 I 0 Y E x 3 H / P g 3 j 4 n j d i b G g E y c 0 t f P A D P 4 I 7 T t y N 8 x c u 4 6 F 7 9 T K 8 V Z s r 0 8 K 7 t f Q W M s U k B v u 1 N X b B E I P 8 I d P 8 s h 4 s 2 7 Z D J h 1 9 H h / K q b V 2 n c y 6 q l 1 i X r a T A m d b K V N A e u I l 7 N 2 7 g / 5 Y k Y q X / o m U n I J + q c S l p B y E y O o r F x V F 2 9 Y x b X e Y W t u J N t e p m x W d W R F a G + t 3 X e O 5 G w q S Q q r v u v d G Y n 3 a / e m w w S M t c 9 E s h 4 I d p L j l 8 2 n Y X M 9 q 2 s R 1 9 N i O U 4 W S d p s J 0 j p s Y C 2 V Q b 4 o D V 2 D t v D V i F 0 h X 0 S U w l I i l M p m C w a t f I Q O G v 6 N d E V t E 5 O 1 9 R X o 7 R I L F M x D R + 7 G 1 N Q 8 Y d 0 S L V 0 I C 8 T E z 5 1 + G a B A 5 m h 5 E q E Y t v I Z 9 N N X c 7 n q S B F q a r e k 5 Z U l h P x O d M f D 9 B c u o C D p l w k n I c e H / I R o T m z k s l A w b 7 6 w i V p u i 1 Z o C 1 v p R Z v 8 X V / m M y V C h k A X / u 4 z X 8 H j L 8 / g G y 9 f I s F p 8 U g E I 5 s I Z J Q i 0 Q X P B E F E f P 4 2 T a d R H z L s d t 9 s J / 4 S N 2 8 f L s E 5 Z u K i J n b Q l 2 w f U g N t K 2 F L p U l w u 1 2 l s g 1 u M k + d G k u T l J n 0 K g b j v c Z 0 t t U v b y l V G h Z o H O 9 J I E A Y + 9 x r i 2 R C 1 b T O O k m A 2 K m q V 7 s R + s O / Y l V + U i F Z W I 4 s k Y R L T G H X V d 3 t l v C H L I N S i 5 Z G M Y h W T z K n h 3 V t 1 I q 0 l l X M L U y j X s r g w u V z e P r p r + H l 8 8 / S H 8 r i 2 e e e x J e f + y q C E T c W l q 7 Y y N 9 G O o 3 V r X X s G J + 0 + U i 9 S i j O v l s n E p D w G K w j w 4 m m i t T X t g G 1 U o H f W R k 1 R G W L m e k + 2 G Q v L Z Z V l 7 w 1 O T h A u O 7 D l W v X 4 A k z f 4 + X P o v X L G w r n 7 f 2 / t w v / A K K p L 1 i G U P k T y 2 r i c R j p k j r L L d 3 e M i s m k u r b Q V D J U i 0 M P I j H X V + i l 5 M R i / j A f Y W a S x Z a d O N 9 w l d 8 J u 2 c C b I p A X V X h Z 8 j r L h C 1 J h a p W A 0 V J j C u S J B x 6 8 5 5 S W V W f y d f z a q d / E 0 8 + 8 i A 9 + 6 M P 0 a 6 b p 5 C t o 1 k c L Q a 1 C x 1 1 7 Q u h 7 o r f H h t Q D d B a 1 0 6 m 6 N W W R 3 F U 2 L I p D x 0 7 i t b M X E I u P 4 R 3 v f h + u T 8 0 Y l h 4 a 3 Y v v / 7 7 3 4 x 8 + / X n C S / k 2 a Y x O j m G J F o e S h 5 7 e O D y E Q n q 1 4 8 / + x E + j T H P / b / / V v 8 F z 3 / g G D u 7 f w 0 7 S q 1 W S O L z / I D t 1 E V d n p k k f w k 3 C O 2 0 e k i 4 0 8 F 8 + + j i + + v w V Z O p h d r I H P h K 0 R m I Y I a n V N J A h z S m C 1 Q V B T K j a v w 1 T i 4 6 8 n Z X g n 5 s + b 0 r t U S U S l 9 c a N t r z r a P d L d K E d F i Z t / Z m F / w i f 6 F J f z K j u L 5 A C e P D I + b r T e 6 Y x J Y t 8 K v b i 9 Y E t 9 L p D M 5 O b Z A X W b a e Z b 5 K 2 6 L R T l Y v a d f 2 T 6 v z d m q f 0 9 3 b 1 8 m s U h a C J Q Y / J Z g 8 J y a y O 8 n c l X K N i q y G g e 5 + 7 B / f i T N X Z x H 1 e 3 F t 7 j J K t P g D Y 0 M K w 8 D 5 K x d t o G R 6 Y Q 4 9 Q 0 P Y W F t H N d P E 9 3 7 P 9 + H + O + 7 H o w 8 9 g k c f e C N e e u 5 Z v O m B + / C j H 3 o / r U U D 1 2 Y W W E X S Q 2 3 Z L l s r b T X T Z 3 u G q w G E B v r m o q A t p w l 9 U y k 8 / P C d e P H 8 H I W M S o v / N O q o v T U U W j U z N U d h r 2 K L f K l X 2 j o p O J o b 1 b 5 7 s e 6 4 o S X t 2 x h L d N v K A r N G / G c C R X 5 Q X K N S h w 7 6 K 6 G T E K q u N o o q K 6 R + 1 c p d K g j r U 0 3 8 + 6 i E a F i a W r R I R a H X x Y q X X A + d 3 H 8 q V 9 p A h R b j m y 9 + n R q g i e u X T x N S R Y h d a Z p J f D + Z P E 3 L E E 3 E s T i z i E P 7 d 1 M Y s p T 8 E G p 0 9 r U n h U a 5 t L m / N k h M E Y v 3 x X x w N g r m U 2 V K K 4 Q 4 h I E U h p m r r 2 F i q A t F O p 9 u T e r S i m V K O Q Q p u P U y N U z Y h X w 2 j 9 / / 4 z / F R J 8 X T z z 3 H K Y 3 8 r h 0 d Q a 7 e + m H U Q O W 8 2 m z R N q D Q h v I r B c 8 + C 9 / 8 S U 8 c 1 b b K g f I v N I Y 7 D T 5 R i K I k Y p N k Z Z h + 6 V x S B 0 T C B F Z c M L 2 G O R p K X o L S 6 E 1 k d b c s 2 + v 3 a / t k D W a p 0 g L D X G b M 0 w z v 8 2 9 N 5 I p N p V H a M E C z Z d o Q 0 g 5 6 O w U M s / u H U N Y S C 6 h P x G j 4 k q y H X 7 z R 0 L 0 R X x U U p 6 A G D l p s X k 2 z y J G U F 1 V E W Y t B a Z S 7 d A 1 O / S d J 9 Q K M 2 P y C y X 0 + q k 9 u 6 l g C n p 7 I Z v O 9 t r K U 8 E U C h k 7 i u 3 2 4 t B t + 5 F a v 4 7 9 w w d w h H W j / r E 3 i k Q C f I r 0 8 p e c R B h J I o w e h E N h E 6 z e W B w f / 5 t / I t w P 0 T f s s z Z e X y D S I U L 5 s R / + E J b 0 w j k S / f y Z C 1 R o s u h S N 6 w r 6 6 T 3 N I l + L l l V P i f m d T R K G O 0 J 4 / a j B + G J 9 e A d 7 3 w v n v / m s / j N X / 4 l X L j 0 E v S K J d 1 b p p X S O j c N P G n f j E I 2 g y J / Z 5 J b y G 6 l k C J M L e Q K y G w m s b W + y n L a f K D B J / v G / p U C v R n + S 5 D 1 W i Y X a a 5 7 S b l 2 / 7 F e 2 i u E W o + 0 l D o l r 9 A q K t p D 0 f G y U G q H w K f j Z 3 / y H a 0 m c b W W V e c E Y a g p / Z T 0 A h 1 k X 4 A w i 5 K v 5 R o R m v g i N e k 6 H c / 7 7 7 4 d 2 V Q a y Q y t A s 2 + t u / V Y E 6 a 5 k 8 T l S N 9 A 2 Z i t W u s w p S 8 o Q i u X Z / G k c N H s L y + D E V 6 a G F Y m f C x U u b 1 i N 6 / G s B Y z w C b U W C 9 3 T h / e Q k H 9 u 0 m o V Y x s 1 H H l 1 9 b w n / 4 8 N 3 Q m w N j 4 Q H 8 7 l 9 + F t f X 2 6 E g i i e U o y h S 1 c n 4 n d C f e q 1 l o V L a E U k d q J W e Z o 3 o v 3 W 0 k u k o n t N y d n v L A v O K 9 / X g 4 T c / i q 4 u b Z o S x h I d c G m 7 i 2 f P 4 + 6 7 7 7 b O k D D / t z / 8 Q z K F c X E 7 6 X v n N y 2 5 7 e f G u m i I X I H D t t G J 1 4 O 9 Y 1 3 w x 7 Z w y 8 g E m V x z P Y o n r K A v 3 o + k I j t Y q x c v b F K x a e k I O 9 J F i 6 f 6 i v l U D D 8 N T r G z T U D E G G J I J q 1 r 6 7 R N i S x C r U t B D d N F y h d 4 s 4 d C R M h X I 0 1 Y L 0 9 Q O x y R c Q g D f / 0 X f w x / 9 c n f Q X 9 X A q + e T Z v 1 v f u I V m O v 4 / 4 T D 6 L U S i P q b m B 5 r U A h q e H 0 t e t 4 4 2 1 3 Y a C 3 m w i m j P M z l w h Z J / G p L 1 1 m 3 y q 0 q K 0 I n F R A i i a X N h P 7 d r Z s M 7 l n 0 t C 6 9 Y P o V a / Z G 1 v W q G g P H Z 3 A 1 O I U L p 9 f x g d / 4 D 3 4 0 0 / + j f H U 8 h z b U W Y 7 6 Z c Z t d m O t t J p 0 + D m Z I q G f 3 h 3 + z f v F a 1 E P w u D u i l p h J G + D A W r r S x t 1 I 9 1 q 9 O H l 3 V W / T S u 1 y K v W T C 3 + I n y o i 3 q p O x M i f + r n 3 t / q 8 T M 6 8 2 S v S 7 l n h N 3 k p n P W 1 S 0 l g Z o k x K 9 v G o x v Y 6 t 1 V U 8 e v 8 j C L C C 2 i X 0 C o W k 7 m o Y c y m e T g 5 1 n o e f s E + a o l y l l m S h g n d r m S z i P N 9 D D V + m d W t F o 1 i l f 8 Y 6 k k h x d L e C 5 l d t 0 C d K h L u o 4 K N Q b E C B T K B p o t 2 3 n s R / / h 9 / a 9 u E L W 0 p k L J J 5 i E j a F S I n a A G 2 V J m E Z Z a S B O h 9 m p S L V 5 T R 5 K I H / n w I z h 3 Z h o v P H + B 0 J G + i w h A A k s I h J B 1 n z I y S 6 A R m k 7 S e S b 9 b T M u 7 9 e t r I P t J 9 B J z M f y E r M o H I W K y T q Q l x R u I y E T n g 9 4 G l Q u H u y i D + l 2 B l g X K g l i f z c h n j b U D H V 5 8 P U n 1 5 H O F P D 2 7 3 k X Z u f m s W v 3 L n z q E 5 / A 2 9 / + d s z N z + O t b 3 k L f d R l 0 o 4 w u F T C U 0 8 / j X v v v R f / 7 X / + s d V B w a u q r / a j c P k S 9 H M i m L q y S A X j p T 9 A n 6 J U Y R 1 Z d / 5 2 E 8 J o E v 6 O 8 X 7 c c f t R 3 H L r M T z 7 4 k t 4 8 P 6 H 8 e n P f A p X L p z F b / 2 n 3 8 H / + K + / i q H d o 3 j l 9 G l 7 s Z 1 C z H Y M j G M m O W f w p 2 e k B 8 n N C p 5 8 Z R 3 F T F u A C I y g X X j b F G w z + L c S a S 5 L L k E Q n W Q J y J y O G l 2 L S J z 9 U M P B s S A u z m b o a v h t J y a f U 5 u p R h A k 3 y 1 c o e W h U q n I p 7 E + v K n P t l N H o B o 3 9 Z N g n Q 4 F M K i v d E g p i Q f 0 A j l V V r T R m x F d 7 D P t B u z l O b 1 C R 1 t V o 0 n + 0 / 4 f D t G O C I L P y 9 p a y N k P / e i b W h 5 q T d v d p 1 T G Z m q L G j N g s + r + c B B h 7 f x C D V + n z z S c 6 E W J e N W G B 2 k a S r X 2 c u t y s Y R u + j 8 F M u m L V 6 8 b P I x 1 B T A a i d l + C r u G d m B 2 Y 8 0 C W P t i M Y Q 8 L q y n c 1 h N b u D E 3 Y / i c 0 + / g P s n A w i y o 2 f X V 9 D f 1 4 1 u d x y x o c O 4 / 7 7 7 b T 8 H r 9 + B Y y f u w 2 c / + 3 n 8 3 M / + A s 7 S W f 3 w v / x F a u w 2 M e Q s g l a u 5 W T D K G Q 7 R s e x u r F o O x 1 5 H N T C M t 0 k o P Y I N 2 3 I u l M 6 + M X D v m B n s I 2 k r J l 0 E w j d 8 9 0 S + 6 Y D u 2 6 M M C n d L F A k t O Y p 3 L Q A e g 2 n o I U 5 y O p M O r S 3 H o o i 4 s 7 i y K 4 D F k d p 4 a C 0 E l 0 9 3 V j a 2 M I / P n 7 Z 8 l d + U g z H b 7 8 d z z / 7 E v x 8 n l 3 a v r a d d O 3 0 q 6 + a T y h / X 0 m W W + 2 y u k b 9 2 D M U w 9 W r K 6 a Z 9 c Z 1 w d w m L V + T K C R E y K J t u b q H / N j Z T X h L S H 1 t 0 U c o p S h 4 N 5 m S c J V 1 H R q u W Q j Q B x 5 5 B B u r M z Q S T l S d f l x c m L U 9 / b T L q z P o o J / V f v c V n z R Y Z M w q m q g + N y V Z X e 0 e J a t d K R T h o J O v Y f n n P v e 3 + P Q n / g 4 / 8 R M / i Q 9 8 6 I e Q p U v w J 3 / 4 3 / E X H / s 7 I p 4 0 T p 6 8 F 3 v p e 6 + u Z T A x P m I b 4 i h 9 u 7 C 2 0 + s F y u o h f j H r z v b z + w 1 I z X + a G F Y U T 5 N 1 0 g 5 A D s F h W T K v 6 k Y k Q 1 6 3 N z e 6 K X j b b d J S E 4 2 e 2 l z V m 9 5 5 s p U g k + c I 3 R R V o M g H f z i A r V w G C + l N d N G R D h P b B 5 l B S P M / f K h C J k 3 q T Y C E Q 0 5 n H f F A G O u 0 L s 6 G E x l q Y p + j h o W V F I Y G B z C S 6 C O E d G K Z D q Y k P N 8 g 5 i T W L d I C q F H H 9 h y 2 V 2 e 2 i I E H e v t w Y X 4 K a + U 0 7 j 5 w F z a 3 k k i v s Q 7 B A K r + E D 7 2 T + e I 6 / X W B m o K C k B 7 Z E v 7 g S s Y t o p d Y w P o 6 Q r i T f f c h o G Y F 3 / 2 m a / h m T M L t A 5 8 h g 3 W / n T a / N C W s I v I G i a l U l M 9 t I x A x G 0 L 2 b f S d x Q u 6 x s K l I h p J 7 6 V d K n D O E 5 q f z n I e h O E 8 j G N z K T X 5 2 i r r 3 u O U 7 k U 8 9 h 5 c C e K + S o u z c w h Q S W 0 m M n g t d N Z g 9 8 t O s + N j p C z z u 1 8 2 k n G 2 Z K Y Z r s i G g l U U k R C m 1 E I h K n c g l K s r F 2 l q s g Q Q k c y T F X 7 S W h u k d o 4 I F / N W c L t + 8 N Y S z k w v a K w K N L F p e F p z U U 5 k E g k E X Q U 8 e E 3 v Q 0 v v f o c 7 j p + J 7 5 y 4 T y W k 0 m j b 4 I a u + A c x Z n L K 7 Y P h Y 3 u K U q d y W i 7 n b R W r A 1 Z a Q E U 8 S C H v 1 A 2 Z d g i L 8 U D d R R Z x 4 B L W 7 j p n b g 5 3 H n 7 E F b T f i w v J j E x m k A i 5 s D M 5 T U s 0 k r R I l i + H R r c n H R O U E x z c D c n o 6 M E Z Z u e R i u 2 U f / 0 2 t M a N V K L A q V B B x f 9 u g a V n e b A F K T d 4 H M m j t v C K E N v s Z 9 S l r / 0 S 7 9 w q l 5 1 o n 9 4 C N l C W i O X q J F R N d 6 u t w p U 6 v R T W K t M T R t h 5 h D Q E n l a G s O N x J z a r d Q V 9 K C P 8 E X X i T 6 t Q l 3 0 i 2 T O V z d W s J 5 J o 1 S o m h 9 B e 0 4 m U d B l F t 2 x K C b H R u k I 0 w G n o K U p Q M V y k d b I h 4 g r S i N S t p n 7 g a F e 3 H 7 k I P a M 9 d O 3 m D Y 4 9 o b j u 3 B 4 9 y A e v H 0 f b h 3 2 4 6 0 P H s N k n w / 3 H N 2 L F Q p l g J 3 2 P O 9 d S 7 M d t J L t i H M x F b U Q i c U u p K D J 3 9 L w L u t F 6 2 i D G Z q p F 5 H V O W T K t h 1 q J 3 W C f i l 6 3 F Z 3 2 m 3 t 6 7 I I p K 4 9 Z / c Y 0 u Q 3 M o 0 K F g 3 r 0 n i C O B R k v R g g E o 3 R I r k Q I O Q S 3 N s 7 M o Y C t d 3 V B b 2 Y w I N a I W f w T B m a 6 L J A F d N h A j G L H f a r n T r n 7 L v V l 8 r G z 7 y K G b z 3 f T + A K u H h + O Q E D h 4 8 A E X I H N 1 / B F 4 q G W 2 C r z 6 4 / 9 g o v v n y O p 1 z Q R m R 2 o n v e / B u H N q 7 h 1 A 8 g m M H j i P k j G K F y m l y 7 F Z a z J j t d 7 6 j d z 8 e f + 4 K 5 r T 9 N Z W b N t G U R g d 9 N V X H I Z + S R J E g a + C K H E p F y H o J r p s i I 9 Q m Q y p K R m F R W + m K w S i 1 T d E u w Z h Q U x K N c g 6 p P O l P O d 3 M E 0 7 S 1 7 d g V t F e 2 l F J 9 N K D 2 4 T R 6 b b q a / t w J j g a n O A F s z C 6 g Y e U r F Z O 1 2 n m F c d K U 8 T z h P U u L S Y U L O X 9 1 A M 2 U E H h s o 1 c p P R s Y I f n d P s 7 P 3 C S 7 f B Q 4 9 c J 2 3 p R o p n X U m 1 J 3 M b W J n o H e 2 y O y p Z a 0 E p p J j t I P 6 h I E 5 3 l v X p J s j c g Z 8 1 n S y 8 0 M 1 4 o U F h 6 9 C a O H M L + O H 7 o x 3 8 M U x c u 0 8 H 3 4 c z V V 2 i 1 d u C 5 F 1 / E O 7 / v + 2 w l 7 e L i E n K 5 A m F n D W e v v G a j i t F A n I 1 v 4 u i h I w g E t V n i d W R o F f c f O Y 6 V J G F n V h O i Q z Z Q k t r K U 3 M 4 U a K V D N K K s l k W 3 f H R f 5 r C R m a T U K 8 9 C n n D + g j 2 e L T P R I V + j q y V t F L I B g Y k c o K 7 w u P q A k v b W r + T b L E c a S Q / T Z + W e M 6 S W U 3 d w 4 O a s 8 m O 0 O h o N l + y O R c p F Q 2 v 6 8 0 d P t b 5 l s O 0 m L m 8 L e / o D c W w k m r h K y 8 T 7 t G n r J D + r K B 1 e j v T b 6 + H 0 s 0 W 6 z s l D V i p 8 8 V h D r b P p U l I K q y h o S H z S 5 b X V y m 0 U g u s T 6 C B R 2 4 f w 2 e / s c g y R Q O i a J K t S S W o y B k t R + + K k l f o U N w 6 S Z + m n k M + V 8 O l a T r u r K I m O 6 W E S U j 6 t X V U C Y 8 0 s a t N N q V c F S K k F d 5 6 W 4 t 8 D y k X D R h p E E l i 5 / S 7 k F D k D Z V t p S A E I 9 + E d C Z M D 3 R H s G d n D J u L Z U Q o c H q Z R a R r E F O v v k Z k 1 L Z Q J h h K r H i n 7 6 w f + M d o q O / q S x 4 2 h U B h U J L Y G h 2 F m i i w D f K s I 0 h e p 9 C L V 6 y f p R g s D w k T l R R 9 Y Y 3 8 O m W F t 7 t A Z b k O H p 0 8 1 R 0 P G E 7 s p 4 9 U I Q S p V x r 0 n b w Y T N C X 8 U U Q D U e t g l 3 a I 8 H v h 5 + Y W + + B 0 s 5 H e U I I v b o / m U u T W F 6 M D Q 4 j T W F T c G t c k 8 E k z v L 8 N J Y W p 3 F t 5 g o 2 C C O T m w u I U u N c f O 1 V P P P C 0 5 h b n k E 2 S Z j g q W C M / p M 0 u 9 a b r G 1 t 2 A Y f L 5 1 5 m V r c R Q g 5 T A H 0 s 6 F Z W 1 + j F 0 d r c j k a 1 R v L 1 2 2 J h l b f k n 0 Q C P f h 6 6 9 M o U H r Z B H K J I Z Z F R 7 S u r Y e R 6 N u G j z Q c 7 S E S u 1 O I Y G Z v + y B x M r W 5 6 i X t g k n y o k e p v q k 3 W n v O i E t E j b 2 G L / z n J 7 i P d o J l q r P F L Y l C p W W U W t u q G / Y h + I W 4 X G i n 0 z p w N d e n D E B O H l i L 2 a u z Y t L + W y 7 / p Y / D 9 O E z M Y O q w g v 6 7 v q 0 E n S n r K M s g r M T 1 Z f E f V a + y Z f p 8 A + S u d z 1 N T E / v C i 7 m Z b i U a G B 1 1 Y X N W y c 9 L I h o N l O T z m g 2 g f h S J 5 s F I i I u m p E o X 4 M D I + i T N T e f K Z 7 i U l W F V t 2 G l W Q 0 L D c k X T z o S 5 R i E l 3 L x s D d B y D g 0 3 e 3 1 h h D 0 1 F M h L i q v V z r i 6 1 V U u m M X o H / R T k V e Q z L S w O L t I o X M j F K Y l p L U S k m m 3 o 5 2 n 9 d U 2 u m B R 1 g 9 G O 1 k Y 3 q L 6 q H x Z I a u X P H E K u l 5 W U S s R r V A p + x z y a q k g K H j a B 8 T c B L Z d 3 W t W z Z 5 j v u T 5 b d w A + k R w v e H + g 6 c 0 m R q P d C O V y h M e e O G l d v J Q q z S a F U I T v f 4 l i z y h m E a 4 1 i Q 4 Z E C x j e L t N J r V F Y 6 h v 6 e H j u o a u v U e V l Z i i 0 7 p 5 E A 3 + o h 3 t b x C l s P v 9 V r Q Z T w S x u A g z 1 d L 2 G s T t g 1 E e o J 4 2 9 7 b M U 0 8 r m 1 2 X 7 l + g R q U z E 9 i K 5 p c o 4 X a m l l r a u q N C g m v R Y k O 2 z x G e 3 5 r p F B O v z S e n 1 r 5 Y / / 0 H N b W 2 b G E q h p v + G e J x D U C N 2 t U Q h X 4 g h E 7 J 2 I p T K g T Q U G S G S 9 b u p l h O 4 n X j J E 7 l 7 Z v l k C a k P H T h j J 1 o 3 r R z l H L S R s 6 f f A G 6 7 a 3 x p 6 h n f j 0 V 8 8 j p + F g + i y J 2 D p 6 e h J Y W y 1 Z n b Y z / V Z Z N x + v S 7 p H j G Q w i G X a k g W e U 8 R 3 z Q a S a D l 5 r a l R S N X D W M 6 F g / v 7 E A 2 1 E P C V s L h e 5 L k g D 3 L 1 6 8 p x O v O I J x z 4 x m n g y l W 9 I K 3 N Z C r X B J x l 8 i m z P G q 3 f F R z 9 v l L a 4 q 0 I k C D I u I T L f 0 h w d G V c N P a Z S y e U y + 1 9 k r M t K 1 z i d i O / a f F r 1 t p K U y W 4 Q r Q 3 3 a j p 5 s + P Y 1 T Z l X v i B J H 3 l R J I 7 W I 0 P 6 0 Q Q j R h U p G C k b 1 U M S 8 I j 6 0 6 7 E G k P I b t N Y a o K E k N 6 h g 9 Y o c G 0 p n o y z y h f 0 k K V e 2 u l / + q r V X A z d q K 6 X N d e c b D p 9 q l I n t 6 2 L 6 b u z b f R f u u v M R v P 1 t 7 8 E 3 n z p D b e H F B 3 / o R / D e d 3 6 E j m c Y r 1 4 7 g 0 1 C v T X 6 O w 4 / L R s z 9 9 A 0 j s f p D 8 R C F v 2 Q J + W S d C a 7 6 U c N U v N q 7 L 5 E T R S m o M S 1 y b 2 z g c 1 a H l X 6 M L l q F f / + 5 3 4 P b 3 r T u 3 C F / l Y y V c X o y C 6 4 K 1 7 8 z E / 9 G 1 w 7 d 4 X E H q U 2 d G O L k K 9 F N Z G n F V W 4 T I V C n k 6 m D U Y p 9 l B v 5 i i T S H 3 9 Y / j L x 9 n b J E a r 2 m Y I I y 6 T E Z W d r 2 X 1 M u f i O U V / a N m K M Y U 0 u w h M J r Q R I J l 9 3 q o Q F O s l 3 S P N v / 3 d z n W + 6 7 C O 1 U d b O C W 0 8 k / 8 9 D v r g p 1 K G g B g D k 1 n B b m 0 x x b s 1 W o l X J k u 8 K w b k W 4 v b j s w Q q V E b U 2 N X a t T g S k / X p W F V Y k 3 t 0 f l a o t m 8 + P 0 W / / 1 X T / l Q J M R G o S i X q 3 B 0 v O i A f P T q z r N w r r I N E 0 3 R n b 0 o 1 L N o 6 c v i A M 7 D t k i Q W t n m 4 D t D J m a 7 N G 7 T r y F / k v K p k v e / Y 5 3 I p X U S + X k N 8 m y S Z h Y B m n K D E w R y z J p B b I W r s o y y 1 K a b 2 v W 0 0 0 k o x g 5 o g / R v J S j t p b C r k r m 0 P Q E 4 O + O Y W w s j 6 6 g m z z k R F 8 s g 9 W t j K 0 q W F 3 Y 4 n M s j / + s l t Y v 7 f p a X J 7 6 g f V X f 0 o m m u w P 7 a z l Y P 2 0 k p n Q h h a J / h j L d w X b q x e c B n H J E 4 R 1 E j A v D U L T R b U j 5 c R D I V C C j T a n x T w 1 Z y s + c v z g z z z a K t G a a G m 2 m P P w g b s F e 6 k Z 5 7 G 4 t s y M / N g 9 O o n 5 h S X s 2 3 c Q a 6 l 5 O s z t x W e C h 3 3 d 3 V h f X c X E 6 A 5 b C j G 7 O E + B r W N + Z R N 7 h 7 U B P r U K T b Z W n 2 r A Y W F 9 D d d z a / z t R a T h w t H D R / H e t / 0 I k s l V X L 8 + h w s X L u G 2 O 4 7 j 6 a e e o v O r V 6 t E 8 d i j j + E b X / s 0 9 h 0 8 j K u X L p D h q d V p Q b V v h Y v W V c v G F T G R S q 5 j / 8 Q I f v V v X k G D n U 3 / n t Q j c W U t t o m q 1 B k 2 N b K L u S R E F F A l f j P m M b b l / 4 4 g 6 V P f 7 P 6 O Y O h 7 + 5 s l 5 c l u s n u s A 1 m m 8 L Y m C 2 0 9 h s q 0 z u a j 6 l k N D 5 E + i p L / t X / 1 E 3 j H G 9 6 A j 3 / i E / j T f / g 8 T h 6 h N a 4 7 8 O E P / x g O H T y K T T L s s X v e Q j 5 T P b / d 5 F q 7 d C i p v l I W + s m O b A s g 6 8 F z s u Q a k N H c n o P + k 1 5 h I y a z 9 y v T Q v l 8 0 u Q 1 3 H d 3 H 1 b m s z h 3 l X S i s G k I x 6 z t d m t F h 4 i 0 v J i d j G z b k z W r K M q / Y H l 1 M q L W X u m t l o q c N / 9 V 9 G f 7 F Q R Q S K W N a Y U o X Z q W o f D d s n s f J s Y n 2 k q R f K X 3 G e u l e E I j f / n R v 8 L I H k 2 2 V r G 1 2 U D Q s U 7 h G k C u J k E s Y f Y s 2 0 P m 6 4 x w t p P 1 J M v Z t k w s X 6 P B k q 8 a E Z Y j k y S / U p j Z N 7 K w i t J x + S O o s X W y P k q C d R Y n S Q g r i N 6 i 3 y t L r v a o 5 7 V f i b 5 r x 2 S 9 k U P b h j v e 8 Y N 3 0 5 I J Q 3 q w u b a J 3 / r 3 H 7 V 4 K O 1 l 8 J 9 + 5 z d x 5 M Q x Y 4 Y X X 3 4 O H / q h D + M f P / f X r H i L 2 j O P n / / J U y I 1 / v x / / S X u u / N u 3 H r i O J a W V 8 g U f 4 o P / + j P I R 6 K 4 J d + / l / j n e 9 5 F 3 Z O j O O J Z 5 / H G + 6 / G 7 / y 3 3 8 Z M Z a p V 7 g E a F m 6 P U E c 2 r s f M 0 v z 1 A J N r G z q t T g b m O z q x Y N 3 3 I V z 1 8 5 i b G g S X 3 n + J S Q i E X s b y K F 9 + 7 F K v 0 l r + g 9 R 0 G b n p + g D J r B Y j u H / + u 8 f o 8 k m 3 G O H 2 k j R N k G N 8 Z g M y p G y R h h R W N c J p 0 R t 2 7 m G B K 3 J W e Z v W y K t k b 9 t G G N s Z U K m H 2 0 o 0 R k S t j K k 3 d i J F p Z k e Z O / S W j 5 o Z l 0 k k L G E 7 R Q T j K O B g P o E B q z O f N b h N s D F J W q D d 4 8 8 k A f s q t J l F 0 h P P W N K b E 7 a q q j B M T a 0 W 5 L J 8 l 3 s a x 5 K E J D 4 q 9 1 h 5 o O E P S T Q O l 1 N k G W l y + x X M K + z l w K G 8 2 q S v t q Z K + J i L e E e 2 / f g R d O L y B b b N E F 9 f O 8 h O l b A v W W h x / G C p X n 8 N A o E Z s b O 3 b t w O / 9 1 z 9 i W c 6 2 F a I j r z k x 2 x q M d G g H 4 v K E 6 F j d j h q h U t Q m K + R Y 5 s z f v K 4 Q O E 0 z i C y q u 5 t + e t 9 4 P 9 J L y y h K E N k 3 d 9 8 R o k X o w u w S L Z i n g a s v r 5 A a F F z r Y 9 V Q f + x L m x 4 8 2 V G g s s y 9 Q 3 3 I X Z 9 C l Y h J f S f 1 K V 9 a 8 0 + y n O 2 o F N 5 L N 0 N K h 4 R p R + B Q c W j p i F d 0 Y 2 7 2 2 l S W K T N q b 0 z k p + O x 9 9 7 R 6 q X f U 2 b l 0 5 t Z Q j 8 S h A I U j w n C R Q n V q H G q B U p 1 A 3 F f H 2 n P e 2 j u 9 J o U f y C K q k Z A a P Y k y S W a h N 5 g j O Z T 2 0 J V s M V z c d 4 b d A W p T f T C g A 1 0 k U G 6 h k L U u G Q g a u e a o 4 J S W W / m 8 2 G j m s T U 1 B z 6 o g k c n N h D K N m g B T t C J q N W z e S s L k v s x J y 9 5 j 9 B S M n 6 U f F r j R a l H i F v B L / y Z 1 9 D k c L u p M b Q d m M 3 C 5 K + W / A j 8 9 W n i G m E 5 n k 5 n R 2 i m x n n N 2 U r a 6 S J / J Z C d X j N r I 7 l x q S 8 O 8 8 z L 8 3 F 1 K m d m T k P M q f y J 5 G D W k g 4 P I w d k z v 5 U A 2 j Y z v a + 2 3 Q 6 u v t J p / 9 7 G f t 7 R R 6 x / D l q 5 d s c 8 3 7 7 u 5 H d z S I q 9 M b O P 3 C E u t D D a k x 2 5 u T 4 M f r k r V 0 G 4 r I Q i l G 0 O r J 3 5 o T I 4 5 i 3 e h k S 8 B Y d y U J a F t 7 t 3 9 7 P E 2 8 8 e 4 9 9 I k v 0 G + d w O N f u 0 7 r E 2 L e o k 4 7 a d D h j Q 8 / S C T x N I X d Y Z u I i q H F j K K v D k u 8 z + j O 8 6 K n R o K l d M S o 8 l E 8 z h w O 3 + J H L h n C t U V a Q 1 q k a j Z r g h b o 7 W o P k H n q S M 5 T e b I N Q h N H j 5 K m Y Q e u T G m v i g C K 6 + 3 X 1 S h q p a 3 c p C D b f a 6 k / l d b p W R 8 L L N a Z f 5 O C h P b o z Z 3 Q q F E T 9 V V V N D c l f G I F D L v c X o D 1 v d a 6 6 V k f U 7 6 q o 9 N k P i 8 B U c / / O 4 T L e 3 w Q 2 u P v p 4 9 Z B z 6 F 3 T 6 H n 7 o X p w / e x n v f P e 7 8 F c f / S g W t x b x q 7 / 8 H / C 7 f / B v 0 U V t u 0 C I l i 7 R T 6 K 0 C i 6 u k o l 9 o S B 8 b E / Q m c B W h V q j U s b o x A 6 k N 9 K I + M P w + w I 0 0 S m a / E 0 4 t f H 8 w g J 2 7 R r H u Y u z t t / 4 z P I 1 9 C U G r X M j g Q h i D q 9 t k J + I R W h 9 e p g / Y W M 2 A 7 2 1 X n F W n j B N d H q L j n 3 U 5 p k C X X 3 4 p f 9 M 6 5 Q r o 0 X m b u 8 / v U 2 s 7 X T z d y U j B O + R Y 6 x P s Y w I a A e / S w s 5 t V C Q 2 s m u S 8 D 4 j H U u f 6 t D J E T 6 r n O 6 R h T E T m r D P j n m g i K K C S w S h m p 5 d 3 u X H D 5 D C 6 W i V a Y 2 x G 8 U i g o U o L Y j o 7 n z 9 s K w R o n 1 k Q B Q / d g S g Z v T d x A o Z W i Q h R Z S a 3 R M C F U I 6 + T W w k G 2 Q 0 t Z Q l R g h Y q G / X m B 9 R P N 2 0 m M T 3 v h K O L h 2 3 u R L F Q x Q C v x 8 v U q l j f y 7 T u Y n a z P r p F h e 1 6 W 7 v r M r F S Q + X F G J x 7 a B c i K 5 j 2 N H J l e G J H M 1 9 4 o k k L F f 0 O D K 1 Q 4 3 a g S h u Y L U W x t U Y G z A M W Q a o 7 H 3 V T A K + l C x l W e V r 5 D L 7 0 L o O I s o l Q Y p C / E v D U J a 3 1 C B l S b Z M 1 v S q Y k K Y x S 9 t W K l l z 4 2 U / t / p M I K t 2 I 6 i f N 1 J e q v A T K f D 5 C Q y 3 5 Q K 0 9 U a 1 O M 3 d A z 0 u o V C b b 5 X r s T X e d 8 j G j o V g 3 U l t r N o G 2 V l 6 h P 0 I C 1 T J 4 4 a U n 8 O z 5 F 2 w 0 5 b n n n 4 S H F W q H z 9 d s 5 6 E G c U V q a 4 u 5 e 1 C g 2 V O 8 V b m Z a 7 8 x m w R p a C S J W J d n 2 W Y y P R 1 M F y 1 T d y J O i y K Y 4 W W e H u z u 7 4 a T P T 0 4 P G g v / v J S m E a H h u y d u e p A d U A 0 3 o X e g S G U K 0 2 s r i w g 4 o v w W d g S 9 6 1 8 G n / w t 8 9 T 2 L a Z m 4 y v D r a G b i c R 6 Y b m Z O p 0 v D E T O 9 8 i H 8 S k 2 + e V b P U s 8 z G 9 R y F R n h a / x c u d 4 V d N W O p Q J / J J K 6 O z n N q 0 G v / 5 q I R K d T q 4 b t 4 h u V C H M d l 1 3 m e R H x S y p j x c W v Z G k 8 x B H 1 N 5 q g x p Y E t q z 3 b d + K X 9 / a Z D n a + 6 d 2 C t J q o 7 S X D J c H 9 L G 8 I E c P u J s L 1 C t G 8 g a B v 4 t 5 r 0 A V g 2 q 4 s A h a g 3 W i L E 7 k W 8 p w d + W p K k h r T r 8 i / E r A 5 s 0 Z K k d K R T / K 1 2 s g 7 q L B 6 s t h 0 W T 8 l P L 6 2 u r K R G + / R G e O 1 d c f R I w K J o S l v k F z L l 0 L C H i r S G r X Q B 8 d 4 E e a i I f D L f H h F U i T f 6 0 k M e Y P t c 2 l + / T j + M 1 k M T r L y i a Q r R W / + V V B 1 9 l 5 I R / L T 9 y S X K z I t V M I E S r c z S k F Y K Z D b / T v n I Y r H O O m x v D O Z l 6 7 z U R D V K S l P w V C y j f H m D 6 8 C t k 6 e i r J A 6 I 1 n N 2 3 t S t R 9 A z B 9 F L l e 0 7 Y H r / K e g S n W 6 h n K v L E / b y N 6 + s X H U S m U b 1 f P H g v Y W O S 3 r 0 O s 6 t 1 J 5 D P T 0 Y 2 Z t E W F C l 5 j X h R 0 7 d k B v 8 f P 4 Q t j S m w h 3 7 C V B 2 m 9 n E O Q L K Y a w 2 s L a A r W W 1 2 d b h u m d t g p O 7 G G n P v n k E x S k V U R o m c S U T W J v v 9 9 n k 4 r / + O w s F j L t 6 H M R q B 1 J 3 O k A w R j 6 R Y I b N z p F R C F B t g 9 j Q m k b P s 8 T Z D w R j A T S O R G e 2 k 3 n 7 T K / q z O s 3 6 S 9 e B 8 L 5 T l q a J 4 W c + j U j f v J Q L b l M i G p 3 v 5 o i d d s Z y V 1 J G + y C U d j n H b 9 b q 7 n t 6 X t 8 3 b d C t l O n f M y S P z a e V 7 D / + 0 v V B y a 2 6 E P o A G E p i O A r o R e V b P G v m 4 R h n b Z 9 g P y Z Z T 2 j A 4 h 7 n d D b 6 8 v 5 A i 3 a a k U 2 l X K O R C P + F D O b q n J t F Q C f G 1 l p a M N u d q p U w e j r + p E u q m d e 8 Z 9 t E w F K u J 1 + D 0 h D P U P I R A M Y S V Z w F o 2 g r H R Q S x e n U V u g / X p K J L v k F x U U n o z u 5 / K w V Y a 8 P s N u v H D E A P / y V + T c r F d p r b h s K Z f p P y s b q S N P b f 9 y R 6 x f l O S g t V u X m a F + N t e i X M T 3 d v l S S m 7 a I C p s L y J 8 K l i I 4 f L y W U c H Z i k Q O R Q J m N m q U 3 P z V + F 9 o r T O 4 B W V t O U c j c F r E p i p n F o 5 0 7 i 4 T q F I 0 p B c y G 1 u Q 4 v t e u x 3 Y e w l t z A m x 7 4 f t x y 6 A Q L j O L E 8 T u x u H Y d N e L P 1 a V V p L Q H d 7 a I g i L M l 2 Y w P j G G 6 b k F 7 K D z W S 3 V E E 3 E k C G 0 u + e e e 1 E p p B H r o 4 N O 4 d Y Q q d 5 F l U 7 T Z E v z N T 1 Y 3 N i E r 2 8 3 n n z h M i p i V n Z A S x C M A t 9 p s B H J m P w m B m T S e Z 3 r M I E + 1 Q k G 6 9 g B n e c s e p 3 w U U L J k 2 Z V l H S P 1 J P 9 5 B 8 T S J Y t E s t S K J k G Z I c q n 5 9 5 2 / f g y Q u n m Y W e Y b 6 y B r J 9 f M D 2 m x M z y 1 K q X v b 0 d 0 m 8 z g z b n 5 1 D S R V R u R J u a l m N h r Y 1 R D t p S F r v G 3 Z S c W k x a D J d x S 1 H 9 2 F j e R a F b B m H D u 7 A 4 g q t T c u F n 3 r P O 3 H r r b f h B 9 7 5 H t x + 5 C 5 8 7 2 N v w z P P v 4 S p u S R + 8 5 d / E W P D A z h x 7 D Y 8 d / Y i y y e 9 6 y 7 e v w f L S 0 m x M M 9 t l 0 s / V q 1 x U N J b x L N 3 H e + m g 7 9 E I a V y a y j o 1 o N M P o u 1 l T L W 1 0 i r Q h 3 r i 5 t E V u z L 7 X 5 Q u 7 R F X C R K n 1 3 I R 3 3 E c 9 5 g w O 7 T m x 6 1 s s E R 8 M J F / h E c F Y 3 N W m k k l f e K / p p f t N F a 5 m v C x C o a 5 e w W W X V + 5 x / b U 5 0 n 1 Q + a s x J 9 b W 0 d + 1 Z X T A D 5 v O g p 0 h M U M n 8 i E 9 3 3 N 3 / 7 9 6 1 k Y Q 1 / 8 h d / j s M T B 3 D k 1 v 3 U Q m u Y X r + K S 9 e u W 2 R E n L D L 2 Q z Q c Y 5 h j l Y j 2 h U h v C 3 C S 8 L 3 E J 4 t L K 0 g G g 6 h r 7 c X S y t L F t s X o 8 + U J 4 P n C B O K d Q c G C S F 8 N C t B d q Y 7 E r U 3 z H / 2 K 8 / j r g M 7 K E w z O L T / I F b W V t i Y G g 7 s 2 Y M r 5 y 5 i z 5 7 d S K 6 v Y 2 L P L r x 2 b g r f 8 + 4 P 4 U / + 5 K P 4 t V / 7 D 7 Z F c 4 J l p 7 M F f P k b z + M 9 7 3 g 7 D h 6 / p 8 0 / 1 D 4 3 G O 5 1 6 T s J V S f Z d w m F z K Y Y k v c K 8 i l W S 5 b P 4 K K e F + F 0 v 4 R p + 3 l 7 u Z c + 6 f O 1 B z X a H a I k S P B j P / h u 7 D t w G J H u C H 7 s X / 5 q u x 6 0 m G 2 o o H t 4 E x V S i w r r R h 1 v q t t 3 T L r + u v a o 3 t L C N m q p P T 0 6 A r V 9 n 6 Y b L I K c z 2 p Q o N m s Y K j X i 3 i 0 g I H u G I b H d u O L T 1 x G u k z N T E t 2 6 / 4 g f b 8 t j O 7 e i a W p d V y a q 9 v k / Y b m I Z l H I B h B T j 4 t e U F C Q 6 K w K L b J K K S / g r Z i S O C R e 3 d S I K 5 h e W W T y C K E b D Z n C s f 8 i W Y v r s / n 8 M H 3 v 5 d P O M 1 v l r 8 1 O z t r w + + v P P M c H n r z m 5 A p 5 N H f 0 4 v / 9 v t / i P g g 3 R T C f Y c W 2 E m J k u o t C p g J I e l g O 8 3 y k s Y I 9 O Z 6 J V O 2 9 o 1 p m 3 6 d f l I f a h B J V t d q z j 6 x 5 R y 0 r P b O K d L S L J T d z O c 6 1 n 9 7 y s W s 8 J v e c 1 t L 2 / t q h E x h P L V m A X 6 H 2 1 b T Z t I Z x E L a R b Z B D a E 3 r X u x k U k j Q O H R W + w S / o C 9 s X B s 5 y Q W V 5 e s g 7 R d V 4 h M M b 7 n A C 1 S D V M r K 7 b 3 w 4 H R c Z R z D Q Q C P g w M d 1 H A R v D E 6 d N I J 1 f x / e 9 4 B 7 7 0 j a d R p N Z 6 4 J 6 D F l r S 1 a s R R R e u z 0 1 h M B 7 H O u / T Y r m h w Q n U i 3 W 8 9 M o 3 c P j h D + D 3 f u 8 v y f A B + n t k R L W K j r b T o f f x 0 v m X / + D R m 7 8 J c U y 3 i A 4 3 y G l J H a p z O m t M x k O C I 7 / K 7 u R v Q T 7 d 4 y Z d N M o k C 6 W 1 L 4 p N 0 5 C x R q 5 u B G j y U D 6 6 3 6 w c s 9 C E Y L Q r Y a O P g n l 1 M b w G T N i B 0 p i d D t V n W 3 v e l H S t f f l G u q H 8 V d 7 2 s 5 2 k V 5 Z K O D U Q 0 p A D r b V C u o W 3 G o P J M m o o m G j j 4 N E 9 u H x 5 h p D V R y X m x K H J A X v L f I v Q c H o m j 6 V N F / s p D R 9 9 g A f v u w d h f w x V o o q B W C + + 8 d Q T e M v 3 v A v / 9 r f / g A x o e t v + d w V C 9 l L u 9 s b 7 D Y z Q P 9 s R b 6 L o L C N A f y 1 D A Y j R 9 x W K 0 T 4 Q u X x K c 7 j w e 0 O 4 e K l B v 0 n L g y Q g C o 9 n f d V 8 t Z G n 1 G y 1 X d u J N Y O 0 Z u R X D Y j Y W j M K v 8 N D x V / R l u F S K u x X C 0 Z 2 W o S I 1 s 4 p W d + Q 5 v p l S k d p W z D Y s z w n Y e K z q j 7 7 T 8 u T J N h 6 + 4 e F G 0 k B K l l f b 3 / v E J i a 0 / G + D z 7 Q 0 n B 0 X z x C J g q i u 3 c Y 1 6 6 + B q d C h a h F S v k c I h Q q M d 7 l q 9 c R C 8 d s n 7 a e 3 g G E K R w z i 1 O w G X 1 K b i q l 4 U s X E k M R / N F / + C h + 7 / d / H 7 c e u w N 3 n r z T O v f 5 5 1 7 A + s o 6 3 v G O t + C v / / q P s L m Z Y S c 1 M T I y h L O X r l g g b L 2 8 R V / K j c V 1 D Z O X 4 V M H U W i H q L G k a T Q p W W l 4 8 d T l F S z M z a G L G P z U v / 8 P W K B v p b f 7 9 c S 6 7 J 1 S o W A Y W u f 1 x S / + I z Z S R S p / E a / N 6 J 0 k 4 h p M E 4 H 5 X W Q x Q j E p E l l 7 y F F N W a e 0 C c h 7 y a i 2 b J z J B J H P G p T g Z e U j g n f K 0 K c J K A X K 4 w v a L k f a 5 t g E 1 A S q z T T K u y 1 6 / G l d / b o k h r o p d X 7 d u F P X V S Y / 9 W o i s m W 7 P V R 6 q n P n P l n Z t v V W u 0 g L 0 s c f 9 t s i Q w W Y 7 t 3 j w 2 C 3 F 8 u E 7 9 E Y E U Y 5 g K u X V q y N e w / 2 o 7 u r i q 1 M E 2 c v a P S L x Z m j r v m 6 d t u t T J b n b B V Y Z p D 1 a O D W n c A w r f J C M m n b B 2 Q y G Z T z F U Q j E S K e b s w v z P B Z J 0 a H R / H M a z m 4 6 E P n 9 F q l b S v a U W Z W Z 9 V f j X f 4 4 I s G U F E Y l Q 1 I a C s x L 2 I 9 Q e T X 1 t A o 6 S Y J I z + F 4 0 h r Q T d b A y Z a s 8 8 t T 4 P r o r 0 y Z l J k j R S v I D k f M 2 g p I W E D T T k r J l R 9 b E l 1 6 n x v J w 1 m O N 7 1 / t t b d c K w g G L a m J F m v v 3 M U + 9 l z d k e c V 4 c O 3 I U L 7 7 0 P A W V m V N i 5 1 e X 0 U u G L T d K q L H S 3 n C Q f l f Z 5 l S 0 5 P 3 h 4 3 v x 6 W 9 e w l 1 3 7 E U 9 U 6 O A z t B x D O L Y o X 1 Y m F r E 0 Q P 7 q A l T 9 n 6 p R 9 9 w F 8 6 c P 4 P e n j E k C C W h 5 R S V F D V h F K c v n a b 2 p G N M h 7 V Y T F v n N 5 t R / N m n n 0 G k 7 E B J 2 F 2 E p i / 3 g z / 4 X r x G i 5 c i P F k m B o / G / E i n 8 j i w b w 8 u X J l t E 0 Y d d B M R O g I l o u q s f m v 0 R x Z K F s e s j + 5 X / z D Z + 3 R F a H W S 7 i U 9 7 F 4 + L w E 0 p u J v 5 a N z 9 p i + U 1 u 6 v H q r h U p h W T o n g Z I W V u I z m o T V M x Y v 9 v 8 l M U 9 m Y B b K l I D O F Y v 0 m e y b J d V L k i A l 3 J 6 w p g b 3 R x D q 6 a H y 2 q B C 7 c U d t / V h w F 9 E g P 5 q s + 7 E / c f f h L / / h 8 / i 3 d / / / U i t z e G d 7 3 w f n n v 1 Z a z T V / r G U 0 9 q v A x r 9 J 9 O n z + n E s i O N f r R 9 E W Z v c P b z X Z t 0 T r 4 k a v k T a B K V I 4 1 w W M K t o c V q d W K r F c F P k 8 Q 3 u h u v H Z h B c V k 3 q I S F P 7 V W f O m B a E K U v a Q a R s B Y N + + H l w + s 2 F C r X l I b 5 c T Q U 1 H 8 O 7 1 6 V m i g r B Z F i f L 0 e i e B E p + o 2 i s Z L D Q 4 K n 6 T r L B c i Q 0 g v q s l / W h 6 M X f J l z i E A r U j S i Z 7 y Z Q v / E f f 7 1 1 / 3 1 3 4 U / + 5 6 8 j Q C t Q K B V t 9 a Q i B W r U H N L s 8 a i Y s 7 3 p p a y T o i o K O b 3 9 I Y / B o Q E y i x / P v P w 8 / B 4 X 4 g O 9 2 D 0 w S g e x v U / F 4 t x V l G h 6 e x N x B F n + c i q J 3 m i I T q Q H b n b E Q D w A X y T E 6 j q x c 3 I X s p k 8 r l x + D c F A 3 N 5 C r z m J J 1 5 7 y V 6 J m c 6 y n G e u s I 2 a + x F 8 I X O w c 2 Q v 6 j V q Y z W I Z d h 5 E a v N V j e S E W U 7 i W A a Z D C t J a 1 N x m s / 1 / Z 9 d I j I E j g b B u e n 6 n h D c 6 l j e C g P d Z H y s e f V U U w 3 C 5 Z 2 j m 3 5 / C y f 1 0 l X 7 X V o 1 7 c F T P d 0 x O h G D c l M / 1 + S y t T u P 4 1 K h T 6 Q F A V z 3 m 5 b 5 7 q S 1 V W l s e 3 B w Q S G R u J Y W C B c D x W x d 4 w + s F 4 3 R C G Q x c / m 6 8 j S N 1 m a S 9 E S x B H p 8 t F v J j M 3 v T Y M X q r R J r I Y W Z N Y o I Y 7 9 / s s H E x b F 8 e I d J b X 8 t g o K C r G B 7 3 E Q W + Q t B F X 1 i E S a v G e M N J 0 K 1 b X 6 6 w O U c / c J h U r U d N g k A g l Q 4 s X h o / l F s o N H l n m 4 c P K t S 2 U G h G L V l d b 4 i N R d P v y m J 2 v w R W g Y m Z + F r E h i E 6 k Y w t L R Q N X k 2 5 M G I W t N O u 8 r W S 3 a a 2 9 L w h r + J t C x F v V 5 0 r i A x u s 4 s k b S p D f h U r s 3 P a E u w Z C X H 3 D 3 l N X r l w m U 1 X p 7 A 1 S m L S z S 5 1 K v 0 6 B Z G U 1 K s T 7 t e + A X m M T 8 m k F a g 1 V M n I u l 7 G 1 U i 4 3 u 6 3 O 5 4 d 6 M d h F g r P C U 7 P X C c 8 y h G m 8 T o x + 4 f K c R X S P j g 1 a n N + 9 d z 7 K C n g J H S d w d W Y N t x 6 / H + d P X 8 D W 1 p q 9 d V A Y O s l O u L Y y j 0 2 9 z q a e w D M v T b P y Z A 6 a C d M U a h Q Z s j 3 q 5 j F 4 Z e e M a T r H t 5 L u t U 8 x H Y l V l z D x t 2 k i y 6 O d d L 3 D g G 3 G a x N X M E f a X 1 Z M w + k 2 R 8 X v J k w S v p s E T X n c X L q 2 v 3 J S y 2 p J h K 1 J 0 k W N S G 6 X 0 7 n 3 R i 0 6 + P 7 / b a J G c b A + 2 p D G i j D F 8 p 2 T w r b E L L V C D X n N P T B p W 7 i J X V R e 6 W X 4 + K R 2 4 K 2 Q I T e T K 7 j t + K 1 4 + f I S / e Q G 0 Y m m C 1 x Q 7 L F 4 R E n 5 V V j 2 c K Q K L x V I m B Z p b Z 0 8 E A 6 Y V d J b X T T A o P f 6 a u X B c F 8 3 4 v T N U 5 k c F i h M 1 2 Z b S G 4 V W G 8 H x n b F s L l U w e a a A 9 l 0 i 5 8 p Z N d T a N L q b s 2 l U U F X G 2 a z z H A 0 S i v Y Q D J V s r f 6 K 6 j W E w 5 b X J 5 b F p n K Q K i g 3 e 8 e V D R A Q a H R 1 I r 1 N Q 8 l j d r Z B j Y S M C k h n r 7 R L y y n r V T Z Y N 3 P 6 6 Y 8 9 b n t S 0 m J u 9 7 4 0 P 2 n H n 3 k T Z i l J d m 3 / x j m V q e o j c r W E X o P q 1 6 v H 6 I v p Q 3 p Q 0 E 3 K 5 0 i s d y Y X p w n B P P y u 8 u 2 b x J E L F H A Z q + u E G Y 0 c G B i A k P x b r z w 4 g z O n t 3 A 2 k o R M z O b b L B e 2 u z B g Q P H K J j A z P o i 3 k s 4 0 S L u v v 3 E v d R 4 d a y s L + P Z 0 6 + g h 7 5 V h j c N R n f h 8 W 9 e J f + x 8 i I Q G 9 4 G a f o u w W o 3 S N 3 a E Z o 2 K d r k M E 0 s Z 3 y b c I p d l P N v + 9 P Z G S Z d 2 z 5 0 7 s Z B Q t o n z + u F z I J n K q 2 j v Z R M 6 L b z l t a V o N l k I X + b n V T 9 C D 8 0 i K E q N b Q N A H P R e d 1 l B 2 / W F g E d u 9 o R z B s H 2 2 x F K C / + 1 l c x X v t T f 8 g M b I 8 m 2 K n F y N 1 t z c q T u v r t S T S 0 f 2 0 m s a F k 0 i T o F + M D q 0 t 5 d B O V a E d b v Z M 4 T z + 6 U X P B T + s y O 7 9 B P 6 v H N j 9 t 1 6 B d F 6 o S / m v Y A M D o Y A T l I j U 5 4 b p e f h C h 0 h X M 1 L 6 D m h S P k A c 0 / R I L + V A r U f g I 5 R f J H 9 k c n 5 E 1 p 9 U / f n g X p q Y z 8 I V D i N F K q h 2 a F K / l / X B 6 y Y + i B 9 0 D d i R d p D L 9 8 D 4 i p I D 5 8 R r C D m o d H x / z O A j b S Z v + s S C F v y h 3 i s 9 5 4 A l F T Q H S h 6 H B q N E K i q P Y R 5 3 2 S K h M g 7 Z T 2 w r p G p G F l L k N U r Q H l W y f P r v K a + / 6 0 N 0 t v c a / R k q K 0 S K K B l Z c l h i H F s r v p 8 R T s 6 p s R Q I 7 H Q E 6 / 2 v Q g j W n q w X F A W a 2 s t g s a C I 3 R m L 1 Y M f o G P 2 j N R s x + o d P v s Q 2 0 6 q x w k 4 C 6 3 e 9 5 y j c w t C s R F + k G 4 u b K x Y 1 o Y n j q f N z O H p 4 P 0 o k 0 r n L l x E J + O A P D u N T X z l L / G t s Y x D F h i 9 Z + T a j q a F K Z A w x 8 Y 0 t w j p d r W 9 i R v 4 W I / J T A v F t S e f Z Y c b E 3 y X p O Q m L a S n S S b / 1 X T 6 W T R o L n + u + 9 s 3 i Z h s p b M e u U Y B 5 j 7 C 8 k k W R 8 F k b I N h O G p S w z f a 1 q 4 6 d + N / U R + d V h u A c k 5 W 5 D T v c e s W P O p m I Q W F T 0 s R m D W 9 O q o f a Q i k W l K m z v z V 4 4 e n u I o L o x d z 8 O j y + B r 7 n z f s x P T u N b D b J Q t w I h A k D i 0 H M L u a Y Z 8 g Y S E l b A k i g 9 c 9 N q x X z b q K v 2 4 e i 9 l s k P 8 X C E U C r A n J b 6 E t 0 Y 3 L w C B 5 5 + G H 0 9 Q y p 1 T h 3 4 S z d j S F a S v I p a f J 7 f / g H G N z p w Q t n V 4 1 p 9 + x K I B K O 4 8 L V S y h t a d 6 T / C P 6 a / S t S p R R L s D T R U E j j a v 5 C j w K R a P i C Q Y 1 U F E h c v K z D l 6 s r 2 0 Q X Y R w 5 q U N 9 A / v Z 7 s W E U 1 E s L W Y t 7 6 0 j W J I G + t H + U 6 d / m Y d O p H l s m K I E n X V q N Q J J 0 V j F 1 G Y I j b 0 8 g p X 9 2 T g V H + k i x o i g 0 O 7 d 9 q y d p n n l Y 0 N O p A l Y x Y t g M t T 0 1 T 5 s F 5 5 L 9 O m e S R N B v p c I R Q I E 3 / r N / 4 I 3 / v Y B + 2 1 o f e e f A y 5 d A M b 6 1 t Y n K W Z Z h 2 8 z O O x x 4 6 h S k s 0 S q E r 5 i o k Z g C 7 a M m u L S 5 i f S O F / Z O 7 M R D r w X p h C 2 X 2 8 X I y i 6 8 / M 0 f 4 2 Y Z S E g U N + 1 r k M x u u D 3 K C / p i 2 v 9 k K K U m k O t b L B E o M a M I g 4 W s f Y l w 7 9 J x + d 4 5 2 t v z c z l / P s y E G N e 0 e 3 U 8 h 0 3 l + N e b n d R v 1 4 v 1 m o S T s c u q o P M S 8 g h 0 + w i O b 0 7 A C J M j K n Z 3 I 6 9 8 m 6 t b e d r m d 3 8 p T v z o Q R c / p U F 4 3 7 v M S h l L r C 8 6 0 a 8 6 / q t t N R x s E a n a f A k 9 m 0 S 8 R 0 0 V a d f f R n 9 n K g L g E / k A R x X Q S o W 7 F A L o w O j 5 G I d m k C P j 0 V k + M j 9 J X S l F Z O M l M z E V D 5 V K 0 u Q p 5 x k P Y R X / F 7 Q r Y H u g h D 3 1 W l t f I V O x F b f e e v J v K O o g 4 m f / j j 7 + I O 0 / c y R z q O H P p K v 7 t r / w U z p 5 + i b + T V N J e D M Y H 8 c w L l + H 1 d L E s N j H o p 1 v A L / S R m s 0 a l U g X 9 u 4 b R R f z 2 q R y 1 1 Z k T h 8 B X 8 t j 7 3 / O p 4 p U z O w L C T s h L F 1 / b N C H C k U i h K 9 l C g v 7 J 8 C 2 T / p J D w p O S e 1 R x 7 A / H O w r G S s W b O d o M T W S a q 8 I V d c S x t I Q U 9 + 0 Q 9 I c P / l v 3 t X q D S V s h 9 Y H 7 r g f b 3 j D O / F n f / I n 1 F B e v P c 9 7 0 M i H q d 1 K O E f P v V J v P N 7 3 4 1 E I o Z f + b c / j X L Z j V / 4 x X + F v / 3 E H + P K 1 B U 8 c O f 9 t j f E 3 j 2 7 k M k k z c e a n 1 v D k 0 9 f I d M 4 4 X U 0 c P u 9 O y m s e c S L A b z t A / 8 S 6 y t z 1 F p 5 7 D 1 w C J G Y F 3 / 9 R / + F z n E / r m + s I p b Y g Y 9 9 / G n p P G p c O X 5 t h h N T W 5 J 2 N 4 3 f / m 1 z Q K 9 L / 0 z D s 8 H t z z b z m T B 8 h + f s v A S n z W q W d M 4 i p n W N F G Z N r F 3 C 8 D a s L s v J a 9 r w R Z Z I 4 U h i W N t N i b j d R Z h s Y T p k L i 2 8 M 8 0 n A e Q z 3 y 1 Z W f y 0 W q i e K s v K / + f P q P u V F E h r I 4 j U l h b a x H P 2 f O c Z 5 W E f b e 3 b S e 2 6 s z 7 B E L q H e u j L Z A j x a 7 j 1 Y A K 5 Y p L W S b G e S Q z 2 9 K F F q / P 8 C 1 e R 4 G e + o K 1 J N d f H X B t t m i h 1 h 7 P Y O R g l U q G 1 6 k 1 g T / 8 Q r i z M 2 l s r y 0 Q z q l M g 7 M L q Z g 1 n F + k z k x b V Q l l 4 H A f 3 E C I 2 0 t R F T n v X 8 0 u v L C B b 8 F J R U Y D o h m i p h C x m U 8 P m o q N G 9 w R 1 m Z w B v 1 l 6 h Q F 5 N E f l U V y k B 2 P j p B t R m F 7 D l E q X U S 1 R O C n A D l c F s a 4 q e v t 5 b 5 3 Q l v n U 4 c X C 1 Q K c R T + a F d Z U I + C i s O A o L b r a K B + 6 r d C B v u E 4 8 0 z D Q y T m + O G f f l s r 5 q M J 8 7 S w v r V O x h 9 A s Z C j N a r a s H N P X 5 Q Y N o 4 V Q j M t 6 S h W y O L 1 o r 1 H y t 4 d F N L b H M 4 g 7 A 7 h 2 J F b 6 N S W s E b T q m U d m j 9 S T O D I W A J V O r J a U z K z N I s 3 3 n o 3 n r s 8 Y z P e Q 0 O 9 e J X w T t H u B 4 c G U f b 5 c G l x H V 9 / e o 4 m u M y O I v O y 4 q q 7 4 I G 9 Q l J M I W t h A t V O H c f w 9 c k E U Y y s 7 3 q F p j p e R O F H e 9 Z 7 W + v r Z p 3 c Z l p 9 2 k k J s A S G P 4 S d N e e k q C Y x d a d 0 C 0 / h L x s c E Z z d r q N 8 K f O b J M j b e T Q r 9 D 1 U h + 2 k s m 6 U 1 z 5 h d V Z q f / I a O 0 9 D + B q 5 s z r q 0 J W b 7 t X z + u 3 0 6 a 2 J o o 9 G E 2 n m O 0 V t P 6 P 7 l D r P 2 i f b a O 2 S E h F d C b V 3 H d x L v 3 o N J 2 7 p o o B u o k S N H O A 9 m q w f j M b t d a u b 1 O T x 0 A B e f Y 2 8 k X D w 6 M a l q + u W v 9 d V x k R v E L n s F n 2 z B u 6 c n M B s J k d / q o F u K p j l U h 5 Z C V E z h j O z Z M 6 6 f J E m / d Q i + h N p D P S N 4 d W L K e y d H K B w u v H k s z O o 5 U h b b a x C X 8 r e c U u h 0 o 5 O e u e V R v T 8 C d Y x Q n N C H p U A F L L k G P Z x M B z E 2 B 4 P X c s i f f 6 w D b C s z N H K N K I Y n q h j p I + C Y h b I i 3 K l D D d 9 U C n J a o V 1 z F M O N u t I L W k / R P a p B N g h i B x m K 6 v U z R o F p o I k T 4 m O r n 2 3 T p z q I s Z V M P 2 F 6 7 P 4 l z / 1 r / H q K x f J c 3 5 W J I r 7 7 n s j 3 v X O H 0 C E s H C w d x i P 3 P 8 w r l 0 7 R 3 N / G A 8 / / C i e O / s U j u 2 9 B x 5 v F I n Q C O L d 4 6 g V X T h + 5 F 7 8 w L t + B G c v v 4 L 8 V g 4 e l h C k h B M I 2 A u p P T T 3 i Y j H 9 u T T x N y + v j 5 E e q n R k p v 4 y r N X U a x S a 1 G j y F k 0 H t A f M b e E S B 2 / z R h t 3 S y h 6 P z + 5 8 k i w a V R y J T m U 8 i Z J S G k a c y y d Z h N n z q Y v / w e C 4 i V n G 4 P X u i v m F C x X v I 9 V I c O U 3 Y I y p M m U P q t z m y P / D F P y 0 t D 5 W 0 h 7 i Q 9 a 5 9 8 T H n p X + d c O / E 7 y z O r d B N 8 V d l 2 F z 8 7 S c 8 7 y Q w q V w J l a 3 k 6 + W 8 / 8 / q k O o s O 0 v R W v g 7 W P 0 P n X p t 0 L q w U M U r U U C 6 u s v 9 o O e i 3 a D G j 3 h Q S D X T h + T M U N u Z d p K u Q 2 t T + E g K 8 6 i r 2 L X 2 i f D 1 G X y Z M X 7 m B i y s S h h h y h Q Y S 3 V p K Q W v V E A / Q 0 p A A 1 X y G s t K y 0 U E 4 8 1 h e o l A O u u h 6 J J E s + h C J 9 6 B A l 8 J o Q j p p + + 1 d R 7 u x + 4 A P C z N E N V 0 x Q w f l t S 2 2 q Y K R H X G k c 1 J i N b o f D U Q o O M k N C n X Y h 2 C k i p 5 u 8 m J m m Y p V V o c S 4 C U k j M e w m a H L 0 a C w 0 M I d m N y B b t 7 X C C U J h y M 2 g J L P e i z / b X D U 5 g / R n n 3 s e N u H 7 m 1 F + W C 1 n I O T Q q N o l Z M n 7 s e L L 7 6 E W 4 / f h p d e f o 4 w 7 g j W l + e w t b W J 0 c S Q z V J f u z 6 D P Q c n 8 N q l l 0 m A C O q 5 G n o S 9 H 9 o 1 U J R J 2 b W l x F w h 5 F N b u H Y w V 1 0 O A l c a 0 5 q k A C y N W L z c g U h 0 r e n f 5 D 5 y Q / L I V S l j h j u x 2 / 9 8 V P W 9 4 r L E r i q K X x G i f 6 J O Y 3 b D n g 7 S a B I 4 m 8 7 1 0 5 q p P k J 7 A A T A G p Z F z G w L I e E Q 9 t c a W 8 + r c y 0 A p k k A D b / p E 8 J 1 v Z 5 J d t B l E n 4 W Q z a g W w S P o N 9 u k a B M c g n y 8 R k w k y c b T C B b a l q q Y P C W V 6 X O v B B s n c z c 5 u q Y B 6 2 4 Y n g I 8 u 0 8 9 u C o u + d p O c c h G F W L 6 K B m y H l z c 9 0 U q c N H e h n v 1 U u z 8 m K O 8 m g 1 P / m l 9 1 2 i x z x E k F X w + a N x t h v F + c 3 a U W y 8 L D N 7 V c G U T A 6 / a H w H 8 L 8 K u v u 1 0 a R m h R n W 9 x U q b R D G P B W s E p f y 4 U i 9 U + Y a I Q Q y 8 2 2 C U 2 w P s e P e P D y C 4 S a M T / e f H I A q W o D 0 3 N F z L 4 4 Y 3 u Z G H 3 o n x L 4 U c H x Y D l e 0 d w f R 4 2 W J U K I W q A S 8 N E n L 7 N s j R A P D j W R 3 q C V b R S w / 3 A C l e I S e b a f K E p B s 8 D M w q L R W 2 F K b v p a N f L U y O C 4 6 f B m v Y x S P m 1 K p O K q Y n H V g f l L 2 X b / k K z t T 1 q w A 8 f G T 2 m P s Q C J p N G T n n C Y / e 3 H + v o G x o f G b e u v n / 7 x X 0 L / Y D / W N g r 4 4 R / 8 Y d x 9 z 4 N 4 7 b V z + P A H f h R z 0 7 R m 9 R Y 8 I T q q L S e + + v X T e O j k Q U T 9 E f p Z V Q T o h E 8 v z 6 N 7 o B u X C e U i J N B o 3 x C 6 4 l 0 I E U o u Z T f g q L W Q z W S w m t 7 A 3 3 / p m k U O k y P Z L W Q Q E k m j R 2 0 V b n 0 l 7 t j + o q T v 2 9 p 6 O 3 W Y R 4 c x 3 D a D a v t o S h h q h L e / 8 / 7 3 4 Y m L Z 2 i M B A d p Y c R 8 v C w G 6 + S h p M 5 V e T f y F N O K w c l w n X u 8 h E J a R 2 N D r w q 9 Y X 6 W C y 2 L B N M X C J r z L y z e H t T 4 d s Z W 0 h m r b / u n J f 3 W B Z 2 V Y L 9 e m J S s T t t H u 4 2 8 R r q z x v / s v t c / 2 6 l / J 3 V + m / K h 8 F p L p J A I / + c X C t A e D 8 0 Q / R c y W h c R R l e 8 H 1 e v r V F o q C A o P A a 7 2 W b L w 1 l H L B g w R t S C w h O 3 H U d y b Z 3 K i 8 q G h C 4 o o J V V a d F n a b 9 M o W J K S S / w C / m 9 m B x 2 Y j 3 p J d 2 c 2 D X a h 9 n l d V q v A C 0 M r S D d A A 2 A O L U f h J u H f j M f I W 2 F u C m i p 1 y l n 0 Z f t V 5 t 2 b 4 R 2 p K g Q n / P R X 6 q 8 v 5 0 y k U 4 5 8 P q R g 2 h n j A C X T 5 a 0 z w q b J s C f j X i X U 7 T 9 a E V j H i D t v 6 u V K x h v Z J G g 3 6 e P 8 T 7 e i r o 8 9 H f z O a s v 1 0 U W t f O H X t O o a p t v 7 a o r Z u Y I L O f u 3 A G p W o O K + k F e A I e f P a L f 4 / X L j y H g Z E Q c r N X 8 N T z X y Y T V f D y 8 0 8 g T H w 6 z 8 K 6 o l G b r 7 h 8 b R E T Y 5 r V L m B t d Q N E d x g Y 6 j O U p l 1 R C / U C z l + f w t r m p k V Y X F + e x f z S M r x s R O / Q M F 6 5 T A H T k K 9 T k 7 t 1 6 B 1 C g s u k G g / r q x v M d y N t a 1 l j K D E D 0 8 3 M o h c u O 4 i z 7 7 n r d t x 3 Z C / e 8 e Z H M T 2 / g j s O H s H R 2 w 7 j l Q s X D O Z I 0 9 x I N + f P v K y 8 b c i l n O V v W K S F G s a k j e d 1 n m J p g q m n B b / 8 U W J t 8 p i U l c 2 Z s U O Z m z 1 z c + q c s b C m 1 y W 1 5 f X M / 2 3 t Z 7 L r P G R 9 7 c 7 / B 8 9 0 a K b z n U 8 l s 1 r 8 2 i Q y a B D i h a h k N Q y d T F a Q T 9 d o n R I Y 6 u 6 2 7 a O v z m 2 x P D a w 0 + j t l s R j X f S R q f 3 j c U K + E N J b K c S 7 u t D X 3 4 / V 1 b V 2 P 2 1 X R 8 P 2 E l Z K g w 3 g 3 L Z n h L B q C Q v L t F 4 t z V m 5 6 C t R r Z Y d y F Y a 5 B t t 3 6 w 3 + y u G U u W y 3 V T A + m 1 + j N p F g V C V h A u 0 2 5 Q 3 o l 2 x 3 C i k M / A R J d m A B O 2 v 3 m 6 y s t r E 7 E w G o Y i X C p f + k X a K V Z + R / 6 K B K B 4 4 + h A + 8 s G f w s V X r u K n 3 v v j G A j 2 4 b d / 9 b f x 2 c e / g C 9 / 7 E t 4 4 W t f x b E 9 u / G l z / 0 d H G 9 9 5 0 M U c m o i T x V D X T 3 G J B V a i J X N B R B a Q k u m N S j R T 0 d 0 N Z 3 E W H c / 2 1 1 H m c y x s r J I 3 y p G R m y Y h o k T 8 v 2 v v 3 0 G D 9 w 7 g a 1 s x t 5 J p M 0 v 6 N 1 h o 5 5 B 1 N M F f 6 C K g Z 6 d N M d a h l z B W j K F d c K g n b v 2 Y X 2 u h q m t E j V Z n p q e G p L a x X b R E V + Q 4 W 1 N y u u Y R H 6 J k i L B j b k 1 b M x 7 N H / R E Q A 5 r 7 G + b p R Y f 2 k v 7 V 6 q 1 5 a q r V V 2 Q N 3 d f u O d 6 m l h S N 8 l d e L 8 J O F a F u / l 7 6 r K 0 n w P h U d M I p g o 2 E R 3 G Q h 4 4 a H C 0 R B 2 l f R w U 5 g a m j e R S N 3 E 3 M b M 2 8 0 y + H D T t U 7 6 T o z / + u 9 K T v o f L T K o x K q z o L J z 7 f X 5 3 n h e m G Y 7 / b P y e c 0 V J s Q i r S Q 4 U m 7 x a B D F U g Y J Q v V m s I H J 6 A 6 c n Z p G b X v u x t W i A u O j g m T K z 4 C B e K Q h q h D 2 t g j l q T B V K u 0 8 q r S G H U U o Y d b h b h C K s y t 4 i b y p C e 8 a 6 v k i / F p c q r x 5 j 1 4 M q D d C v v j C C z a k v 3 P 3 L n z h Y / + A u x 5 9 m F b O j z / 4 9 X 8 H J / 2 + J v v b n 4 i h Q T Q E R w j R Q Q W B j 2 B 2 d t X K 7 C T t + D S y I 4 2 I r 5 d C r i k j W e c 6 F U c Z v f E + O M s U b l c G n k Y Q Z f J u T 0 + c N I h j Z n o d + V w F c 3 M 0 B o 9 + 8 H j L B x 8 y p S o O 7 9 q D 2 b l Z + F 0 B h G M + 2 7 k 1 G g i h L 9 h l 2 z U l q H V W 6 E d F q L E q J E q R P o i W s / u J Q Z O Z N e j 1 + y + 8 s s Z K 5 L D z l k E 0 C l X 8 6 A d / F l / + 3 G e x k C O E H N 2 B x x 5 6 C B / 7 m 4 / z G T d h Y Z T m K 4 r j Y 7 v w 5 V e + Q i Z 3 4 N O P X 4 T e D 6 X N J 9 k + g 3 6 2 4 M s Y n Y e Y Y 5 t B l A Q z 1 I m a X N Q y C Y 3 Q 1 C k s N p t N 0 o s 5 5 H A q N e T n 6 N n t 3 w q + N I d S e 0 b w m l 4 m o I G Q 7 5 a k D d s M K C 6 h F p e v x N 9 i B l u 1 q + v U j g Y b 5 W f x v J d Y 3 J h G m z Z q p 1 Z y 2 O u Z 1 h h 7 u 0 m d a z e Y f T v p d y d Z e d a + b 0 / G l A F p e t K D n F i n U r n 5 u U 7 q 5 H v j m j 4 6 3 0 m P m 3 0 4 B e 1 q 7 s d D 3 0 w 7 y I r G o C f l 8 7 a w a / 8 w x h x l O u r 0 S 5 w a o o 7 g 6 e c W 6 C X x W d 6 1 Y z y O 5 T n y A 3 l E b + l Q H A K h B 1 1 K 0 k 3 9 q f 9 W b t u X 0 3 Z m + q l y 6 0 X 6 3 G z D 4 M g E V p d X W C 5 1 F h V S X R H 6 G p 5 n G z S p y t o y j / b c q J L e E O 8 O + G w h o h Q L t F 1 a L N Z m H S r f F p X B k Y E g k t 4 A 1 m e T 9 k w n M V e E I z n 0 9 F b b 2 4 J R W I O k a U Z z V b S U v / b j / x G f / 8 p n 8 b M / 8 T M 4 9 V u n 8 D 9 / 9 7 9 i a X 4 V k 3 t 3 4 K 3 v f Q D L W 8 z h w z / 1 1 t b C a v u F Y j 3 d f W y s n 0 r e A T 8 L 1 w 6 f G g G c 2 l y H 3 k w X p N Q r Q l i v Y / R E f E g X a r Q 2 P a i V a 5 j e m L N X 1 Z Q L F T z 5 z f M 4 d N s 4 j h 0 + i A P 7 7 8 X o 8 B D + 8 X O P 4 6 1 v / V 4 c 2 r s L c 4 v L + P M / + x N 8 + M d / H M + 9 / L y t i / m b T / 4 J O 7 N I W D i J l 1 + 8 Z p q B V D e Y J I 1 u j n K n 4 6 0 T 2 o w h 7 a d B C r v O 5 A z 6 2 4 G h J L R t t y z m 4 a e b k M / G N v h s x w n X 5 o Q K 7 t S u u G 4 S W P f L 4 l k k 9 s 2 W q g P D Z M W Y n 0 Z E b W C E U i C I p 3 N K N y L V + V 3 h L Y I 6 i n C W H N f 0 F g n t p U 4 6 f k c m 7 5 y S g N 9 0 X f U 3 x n 4 d P P u O e f C a l 2 X W S r T w N 1 X f 6 M T n V T e j B 9 P N z 3 f y V v p O + X a S l l T o t T f K 4 + N / 9 k d w s 5 D 5 z T l s r a x S e G t 4 9 d V X c O y O o / j G m a 8 j F I x C m 0 c O K r a O k G 2 L / O X y J H B 5 6 j q W U 3 5 U p L y o D G 3 q g h I r v 0 Q b o W b T 6 2 i U t P z D h U g i j D z R k o 9 8 W L d g V v p w F G Z n U 3 6 T G k i B 4 r M U K X Z X l d Y o h G C I / b l F Y S R S 8 f g C 8 M b D 6 O 2 N Y G Z 2 H X p n N C u / T e z t P u 0 k K u Q G 6 6 v 3 T 4 3 s a q J U y M F d q W G Y E L X M f s + x n h q k k M K s 0 S X R S m M n e X Q w 1 k P + j e L L T 1 w H U u y f X / 7 5 9 7 R y h F e b K f o 0 1 N x e C t T i 8 i I S P d 0 Y j o R R Z G b y f b T H g + C S l / f U K F A 5 M R y v R b t 7 i H d T 8 J M h V 7 f W K O E B r C w n s b J W w u 3 3 7 s c X T y 9 h O M C G l 9 I U w D L u P X q Y y K q O P X v 2 k r A 5 J O n k F Q n 5 R m I D m N 2 a x q X r T q w u U L s I h m w L l K 1 L U u p A E 3 a 6 t L E 6 X w J k 2 p h 1 s t 8 8 L 9 h F L r n B H I a z x a j U s J 3 f N j I n Q V E x J L D e X M h M h U 0 I / e T v 8 F y H C f m M 5 a V 6 S D g 1 Y i U L K g b j f e 2 h c Q o X i W 4 M z / s 1 H y R G V V 0 U H d / Q y 7 1 I s + 9 k W Z R u F q h O 6 t T / 5 t R h / u 9 0 T c l D g a o X c 6 x D m / G l a N S O z v 3 f S a C U r K 4 3 S + H r k g Z a t P M T H z Q D 7 f a T F 8 h U R H F 8 T s P I N U x M D t L R p + B E P B j p 9 6 O X / K u 4 z + T W F g K k W d V D 2 E W t N r 9 S 4 F F i d 7 J e L N J F K 9 d o e O m + 8 J x 8 T A V 5 k l a 2 j Q E / H U E K E E 2 l / X Z o g 0 1 a M O 3 m 5 a x g 9 / 4 B z N P S N O i s a + 8 H r c z 1 0 r I 4 i Z o q t R a O 7 O / F m b O X 4 Q o M W B v b A t V u 0 8 2 J r c P I E C 2 U e x X N a o D 8 X S A b V D E 2 3 E + l T T p 6 X d h I 5 8 x S 5 t I + 5 D M U t i E i r F a S / p u s p A P T U 3 W 4 Q m P B U 9 q T T 6 t v F R A Y p m b d P T r B y p C R P A 4 + u I V E I m H W S R v q 1 0 o V C g 9 9 E P p M C x s Z K g n 6 P L k k f a k o Y V y C M u Z C g A R 4 6 p u n c W T v B A Y I E z e q Z d y 5 a z f 2 T u 6 g Q L b s J c O a g H 7 q l V e B U h G 9 X T F 7 8 2 G d l m J m k W V U 2 v 6 Q 2 i 3 m b / c 9 m 2 z M Q G F i P Y 0 x + d t W z r J e E i B L Y g o x k t F N g k I N x m s S Q L M m S r x u e Q k m M H P F h I k g g n 0 6 t C + e d k M 1 I e Q 9 N y a N V R E e t t 2 U f f K c d V K 7 j v Z T e T I P v b 7 f 7 u F 1 v a B O A y y m j e 2 h f 5 5 u n P 0 u 1 z u p I x D f 7 S 6 X l h 9 Q A e o O u 9 f q + a 2 7 v 9 N 3 / R V D s R X 2 + z s l m w c z e v C H P u s O 1 E i H J h W w X o 8 p o 5 7 a K q B A f 6 O Y q 9 O / L m J 5 s 4 V r 1 9 e R T L M v A z F c m Z 3 G e P 8 Q / X P C / x H y W i C M 7 i 7 5 e w 6 M 9 k c x P B p A 3 w j d C 4 U I D Y U I p X o J H 8 W H s P m h 3 r 4 Q 4 l 1 B R A J 6 4 0 s R j / / k / 4 G P f / M J h B J x 5 M o K E W K 9 6 D P Z G j a 2 W + v z F g j J 3 O F B a 4 P 4 4 K b m M 7 V b 3 v 6 m f f I J Z m s J z K 5 V U M l H 8 f Y 7 T y D h a m I t l 0 O O J K 2 1 C B 8 d A 1 h f d L A 7 3 c h l W 0 h t e j E x E U Y p k 0 N X N x X L r / z K D 7 b W K T S C M B V q 0 V 1 D o 5 h b W 0 G 4 K 4 F Y M I x c n q a 2 S E x J Z t A b y 6 9 P T 5 k W q V L g a s T C / k o T B W q U U t 2 L C 1 e n c O z o H n Q F v S Z s Q y E / A m E f l l J b N N s R b K W 3 c O u + S Z y 7 e h 3 r p T p 8 I S / C 5 M 1 R 7 X p j z q c D 1 z a r + P r X 5 6 m N y I D y i U g c 8 b b S j S 2 x O p a K K e z 1 U C a L 9 I + 0 I I 2 a g s 6 k 9 p / T G w S b V Q o a r Q r F j g x N z U d l Y Y n 3 K g d j K F 6 X t t b C S Z p g X u I n n W C 9 q U K 0 N q 0 t a 2 U a c 9 s C s U K a 1 R d j a c F b j b 6 k 9 p 1 Q P h p V 0 o a S n e D K t k V i G Y J 7 / P 1 6 y 9 B J s l D K W / D W f q s c 1 Y u f d p 7 1 6 J y j X r d 7 p C B 0 T s n u l Y V V u Z U i B b n t J 3 Y s 1 M 3 5 K a + O R d J v l d 2 p V + c e U 0 j b e S t 1 r i v Z M z w 0 Y G X W P R C U m b F a C Q k r t f O n d W Y Z G n n U H n h t g e V 9 V Z Z L n v H S P 3 d 7 U h j b N Y G t 1 S U k s 7 x G C N d y h p m / 9 i z R U n r 6 6 m X W g 8 z s d G n 4 m 3 n 4 K r h t 5 z C q 4 Q L S i w U s p 2 t o V N l v t H h S d n o R Q N O z r U T V F m t T p z 3 f a t O 2 m i Q 9 t + v L R g v 2 6 8 0 u d e b l a l X w z n s m c X V h C i F t C U H F e P F 6 m Z C z H S V R p X u j d P u B U a y 6 r 8 B d Y l v 7 d s V P j f c M 2 I j Q e i Z J v 8 K H v q 4 e + l A u V A l r G h Q c d 5 g w g g T R K 1 D E R H m e V 6 F e V i B C a B h o 0 O f q T d g q 2 U Q 0 Z h H A E V / 7 L Y N a 9 T v U P U A L 5 s V y l v 4 E 7 9 2 9 5 y A 1 2 D L 9 r w g m 4 3 1 Y 2 F y F z 0 f h b d b Q F X f g z B V a P o W i k E k V Y m T U Y N r + a C f + k M 9 S p + 3 3 R 7 s s 2 t t O s 0 P 1 m p I m h S J A x m 4 U C C M k U r Q c I q A R d Z v B j C l o f d p L L X i e h D e m I H P o 1 S X a A k D k l i D f C H n S 8 7 y p / a w E j g L r o 7 N O w V G n a L i W J 2 2 Q o s O E q r Y N n i i P 7 5 J u N O 3 G l 3 Y Z S j e Y X P n Z 0 c 7 n Z i i n p N + 8 k f I r w d + + x t 9 6 t v P 8 t + W 1 n X j V P j v X L N 1 U j + + W O s L v Z n 8 3 9 E o Z P i u F o n 4 R j f W m S V k N U 0 p k U C e Z X b 6 x m y 5 G g 5 K n F y R U S z 4 L a M 0 X g 2 w W F a g / j O O H f D i x q 5 9 8 U U O m 7 m N V 2 J 9 S F M x z b K I X 9 0 8 6 c P 8 D b 8 Q t w 3 f g 0 u w y B Z F 1 C E Q J d 3 2 E e j 5 T j G 2 F w n 4 2 k q i F 7 d 8 3 t + s X / s W / Q D a Z x K H d e z A 2 O I h 9 u 3 Z C K v e h + + / D 8 Y P 7 c e f t d + M f P v 8 U F k t u r K R d W N 9 g 3 W k Y p G 2 0 u Y 3 e l 6 W 0 s r G F / / q e f 4 l n Z 8 / A 8 Y E f f a i V z + U x 0 N d H K J b C U F e 3 b d e U K 2 S x R g f R 5 f Y j 4 o + 1 n X 9 y W S q T R o X O 2 o E d u 3 l P n k L U h d n 5 O e J j D 4 q p F A U n h E R X H M l U G r G Y d k u l c 6 c 5 B h L f 5 + n C p 7 / w N T z 0 p p M o l d P 2 2 s i e R M x e P x r y R 1 h u C M s 5 l r t e w t n X U q h q g n K 7 M z o M c D M j K H W i F 2 5 Y L a l W W k a / h x a L U F b v / 1 U e H W b R Q R F q M 4 6 Y X C N P J g i y K t L w Z A l a P Q 1 i a C R K W q 5 C h 1 i d p F E n B Z 5 2 + k T D q n p E L 2 p T / i Z Q P K / r m n B U 0 k S u t u / V a 3 M 0 A f n d k / T k t 5 L V j 6 l T 7 x v t 1 u d 2 O 2 6 m h Q x m i 5 r Z r I 2 G n E k H E z i 2 v S N 4 n W c 6 n + 3 a t s u w T / 1 h s a S O K Q X B P D G k k m 4 x X 1 R J J / l d 2 y N Y R M i 2 W b L 5 H z 4 n q 2 w b 9 y s v i x J h e a S n 6 K r l G V 4 + q 3 C g e g d 6 M K l O t p M r B V D t i 3 c 5 M D 4 2 j t c u r 1 i + d f a v n / 7 t Q 3 f f g t O v v U g h o v / G 9 l q 4 j 3 x j Z q V Q K 3 1 a P 7 C M t q J s p 7 a q b C e V Z Z 9 U h j b S y 5 / q a y 3 9 c b t D b L q C b 9 V E P s W 8 l H Y d P I D l + S V U G l W c n O h H T 7 z X I m A + + e k v I O L R I k f y b 5 y Q 8 O 6 T t 5 4 K B y O 2 y X + I f l R / m P 4 S h W J 5 Y 5 0 a h s x F S y W r J T b U e p G A N 4 C B / k G s p 5 K s o g N T F K a y N D j b M j k 8 g g C x c j q n F / v W 7 H k z v 3 T 4 8 / k S H d Z N T F 1 Z x b E j u 2 h R F M T S Q i h A q x b p o o P r w m T / C I o K t y + t I p t y 8 h n i Q H K s D S J 0 i L D 9 2 U k S K G M Y d S A P 2 2 1 H 9 1 A Y N c N / w 3 I w j 0 6 y 7 b + 2 G c 0 4 h Z 8 K w h U R l b v m o r T C V o x j R K W j q 2 z F Z P q w O v C 8 V n f K 6 P A 0 G U e R I i x f b M p P g 4 7 8 b n n x r L 0 t T 3 X 8 r u l / d 6 2 d V G 7 n 6 C T 7 r S 9 s h i u s o W 2 W T 9 p a y N P 2 9 U 7 q f L / x e f N 3 f o p O 1 B z w a C 6 L 1 k I i J 7 i q a 7 r N f E d 9 1 1 w f y 5 H v Z H s + i I S C V 2 Q C 5 W b M T E W s 1 b F S d P a b l q l V o K A b Y i D z 0 o X Q + J y W d N h 8 F Z l b S 3 w U E a 6 I k 2 r L h 4 2 U 5 q e 0 x I Q w j J b n l v 0 7 8 Y 2 n X 0 b T 3 Y W e g W H 6 O 8 y T 5 d X p h 6 t + W l N n j L g t W N Y y / l H 5 1 t e v T + p f f q j / 2 m 0 U z Z Q n 8 9 H t v C 5 k I U p 4 W k n 6 T K w 7 a b u w s E p X q I B X z l 2 0 N m o n r x x 9 x 0 y + C u e u 0 a P o 7 d 6 H / X v u x c / / 1 L 9 D Z G g v N v J 1 7 B 6 b R H Y t g 4 m h C e J T N p C M G w z R 3 L F g r Q z V U u k S M 9 c b B R P B O O I U J L 2 A L V 8 o k E g h D N s 7 d w t I 0 k J p 7 7 Q A G 9 s 3 N G R v D l / f 2 M T e s Q n 0 h q M W / 6 c V v 3 s G J 3 B 9 c R 5 3 H r 4 X P / l D / 0 a s S C h Z Q Y L Q c V d 3 F H / z k Z 9 T 0 3 m o r W J b E k B E I + O 2 a A E c N K E S A n d E s 2 q a u 5 K Q i 9 n Y 0 R I E E Y z 3 i 4 D S X I K A 1 t k m N F I X F G + 2 0 Y j P o 6 F F g O x o X Z E L 5 m b n G Y s y L 8 2 d e A g r l W d n Z E / n 1 Q d m w d h 5 D S q Z J h n O x U L r u m c b g n z 3 4 5 + n d i c b W 9 z 4 t D 2 / m V T P T r I 6 k / E 0 X 2 c Q V v 9 Y r l s M y m t 2 / a a 8 1 G 6 j I e s p G 8 1 K t k / L 2 m j 7 g 2 K O i o D K j J b H 6 f L y D g m S 2 3 x Z P a n t u Q T r b U 0 Z 8 1 L b r B y 1 l X n q b Y A a p d U O U d r G T Z P e m g / S 9 m R 6 F 5 N g o e X D 0 j X c 3 t T c H + + v V U g z 9 Q l J X s s V 7 G 3 0 d Q q g i + X W 6 a + 8 d n k O g V C C T x F W U m H c e + I 4 k d I O 7 N m 5 C w H y w U F C t w f u P k n Y p r a 2 c O / J H X j 4 + A B b V s a + n R F M D N B n Y 1 P 0 D i 7 9 l R u j 5 R w u C r N W s S l 0 + 0 Z / i L 6 i G 2 v p q L t w 6 5 5 u J M K y x C 7 U + N z M 0 g Z K F H T J w S a F K U / i F O u k 1 M P 3 7 T + 1 u r X E 9 r b w y g s v Y H F l A Q v p R V S L Z N I G L U u x i g r x R K G e p Q Q W U C g V U C a z + a m l t J u n h 2 Z Y 3 b K Z T l k c V I R C k t n M I J t N w x / x o 4 / W L J / N I k h C n p u a w / x s C m 9 + 4 5 2 2 / Z g 4 v M q O E c N P D o 5 i Z W H R F h Z e u 3 6 V 5 n 4 f r k w v Y n B g A B O T u / H b n / k r E g k Y G x t j / m k j q E f U Y Z k O Q k q 9 7 8 g T C d L / C 9 l 6 F z p / J i z 2 k H q I y d i G v 8 1 R Z W e b 1 e k w m Z K + i 0 l 0 D 5 / R s o A G t W q z n C d Z N V R P Z q A m F h S S I I m J J F w 2 B M / H O 4 z b h j v t f A 2 y C l r o j v + t h d I j N z H 9 T U m M 3 7 Y e Q p 0 k E J P u 6 0 w d t L + z F 0 y 5 0 B L y H t X X V u 7 e Z K l 0 b / s H / / N Z v W C h X V V d 4 y f / G E 3 s F n o d t B 6 8 y O p L 0 N o X r E y 1 i U m 5 i R 7 2 k D S 5 Z d a u q 7 Y o k y V T L K C g l U 1 o q 5 D t v l D q 1 O d G v W 5 O 5 C 0 9 0 + k r k w S f 6 k N y 8 i N H P p x b W s I G + S 5 J h S 2 q r F B R T y 8 s 2 G S 7 6 r s 8 n 8 b K 2 h a o 4 m 1 i / a 1 3 D K G r h z z r L K M r E Y C T v O e l 8 m 2 4 y l Q W U p D i m b a w s 9 L t s t g e j 6 u A A x M h R G I e L K U o d u t J 8 + k 6 W 2 k T L 7 a V E Q / X x L 7 e U 5 n M F q r 0 Y 3 w B v Q + 2 g G A 4 j D I z n O j r Z 0 E 1 r J d X a W 3 q y J S z y N X L t h O O k 8 w 1 v 7 q F d D a H e K I X P j q E y 6 s r y N W 0 O t J B G O f D / P o q s a b 2 z F 6 3 V y 9 m S h t Y n c / Q X H u Q r J S o z b w I k + C B a B j X F 2 b g 1 + t b F i 6 S I F l 8 / v F X U K g 4 6 I t l M T U 3 R 8 1 L + F C u I 0 v N 9 c K v / T L u e / 9 b 4 A + 5 c J Q a 6 t 6 7 7 8 D B P a O 4 + 8 h R a q w + n D x + D C u L c y h I G E g V M Z e S d Q y T V I B O b f P I t x J P 2 A u O S U T N a W j f d l k c P S F d R e V J + R V z 8 Z S g l X S l W Q G F y 2 y X o W v G I N K j / C v r x O / y D z q z + d 8 t 3 S x M N 3 / v J L G i B F O 5 t 6 2 L L B L r r E L J 2 K q z l t J a R 1 t Z b S b u 5 N X 5 3 h F O v Y l e Q i C e U P t s G y z + U y O U p a 4 p h s 8 t R 5 / P K m D U L I 9 K Z v v N b 2 N Z E r K 2 M K k e z E M C R b h t + y 1 o Z J Y 0 s B X E P K z e 2 w L Z F u Q 2 3 T q J Z L J + c v q C Z s 1 Y k A m T v S i a b d J 1 I 4 C + q 6 4 8 C E T M I k u t t c + w S E L 4 P Q M N P H r 3 O M a 7 a u i N 0 d 8 l P B s I B T A 2 0 o 2 Q I 4 9 R 8 u F g n A j G F 0 I 6 L e u k e v G 3 Q L p G t y w 5 4 K f A H R i K 0 w 1 Z w z K V d b 2 o k W E N k l D 0 W B e j P y 2 U + M C 1 8 9 a x U 1 q L H 9 E k L i 2 P Z r B 9 b M j S 6 h K 0 / V U f Y V 4 i 0 I 2 F f B I 7 6 O M M R L v J Z E 1 k C 3 l U q m W U m E m K w j g Y 7 6 b W K K L I 8 x r g S K V y G B 8 + i J / 8 8 K / h g f v f i B 0 j + / D m + 9 5 P p i z j + x 7 7 E f p W H r o 5 a U W i I B S L s L J b t j + F t G u V U P H q t S y q m o A Q o 4 r w / G f D o G z i n z / 1 J D 7 z + S d w 5 t J l n L k 8 j Z f O X s D 1 5 S U s z 1 3 E 5 I A X n / 3 6 V 7 C 4 l K N J Z 0 e w f t / W a e p 0 M Z S o f l M y j K 1 r 1 m N O W x 6 t 5 6 S d d a u y 0 D 3 2 d g v d p j r x W m c o X c / o p k 4 + i q B u 0 v e y S 7 p f e b y + 0 N e l D u P f n G 4 + Z 5 u / 8 L P T G v M F l S u Z 2 6 E 1 X j Z V U D K + 6 O y t r m R 1 J R N b 3 Z g 6 9 B B 0 V / v a P 8 m M / C 2 B s e v b 5 e p Z / d P 0 g F l l 5 i N o Z 1 Z I y o b 3 W r g X B c g f D F h s o x Y L q l 5 K 8 o 3 a 6 7 J Y x 5 v a 8 p 3 a q m S D X x J W w U b e Y m U T K e i 1 p o L q e s z C x H i v c Q X L 0 + t A 2 6 N 4 u q h y e c V R x R 3 H h p A g H f T 6 J W 0 j p o G D L W 0 4 w 3 8 R n x 9 B 8 v 3 p 6 R x m F 4 o U S o m j v H r S 1 N r c F n r l F Q / V M E m B i n r p o 4 b j W F x M s X 9 J D 9 3 N S r a 3 v u a t b K v r 4 C 0 7 T t W J i V P Z L R u x E Y y r 0 h d S t L i I M d T b S x 6 v o p i u 4 B f + z W 9 i 1 8 h e E j 6 E W 4 / c i 7 e + 9 f u Q T m b w n n f 9 A D 7 z p c 9 g b G i Y F Q 3 Y C N / Q x E 6 s p z f w z e e / g E s X X s b i 7 C U s L b + K p U w Z z 7 z w O E 5 f f h 7 3 3 / 0 A K z e H i k w 2 O 0 o 7 5 m h H U b 3 2 Z X q 5 h G p N A U S s a b v H r d K 2 o y s 7 V 5 3 q a R L f a 4 N 4 d u S J W 3 u p C N c Q i w d Q o F J b X 9 J 2 z G 0 4 e o N B O p 3 4 u s 5 t M 8 f 2 a K E 0 L X 9 r t t 1 8 K Q q 4 C R X P 6 R k b 5 G C H t v O S A K l b l V i W 4 F C n r m a Z V F + d E 9 O q D m 2 G / m 7 p u z G Z k p X N u t h w O H 8 b I 5 E O G i Z W r J 2 I o 3 C n J q G Q k h m B 7 X Z b v v z e g Y i d T / M t d f M 2 P T r 3 W e J 3 o 8 v 2 P W 3 F s V 2 2 / l k B 7 W f 0 x n 9 N s G v P E T f 5 R 5 t L t m P 0 l N q f N 1 t n K + e 7 J M m D k / 6 2 v e x A 1 e G 9 U r 7 q E 5 Z m / 1 Q 3 5 a r e l W X a N Z Z A N p 9 i T w t + s h x n A 3 c d 6 8 N Y F 5 F Q K m O I S / G F 2 h d Q I 9 P h S A h B 0 k s B z m d m a S i I c t a T W 8 q Z i b T h I U W s a k o J H j 8 4 g F q r h D B 5 e 7 O Q I X p L o G J L N l i i B j L o 5 9 t O t 1 R G r q G J 2 C m f z D Q Z x U d f J F s u m X k d G h r C W j 6 D h I d S S e K E 4 l H s m z y E Z 1 5 + C Y l g B D M z M z h + 7 F b M T E / T 9 1 l B y F l H v l L A K n F s z 8 A g G t k i j u / Z i 6 2 t L V x f n 8 f 0 0 i I 0 H T b a E 0 W i u 8 u I 9 e L z L 6 E n o T e P x x A i 0 Q K h I O b W F 1 k / N 8 b H d + P S 5 S W D S m K W N g H b 3 U M y 8 o c E S 5 r M j 4 C n j j f e s Q v O e h H J W g n l c g W r K 0 L C Y h o 9 x D + k z g 2 m 6 X y q 0 / n Z Z v b 2 e R X i C Y Q s Z s 2 i y G s V k o 0 n V S 4 7 V c k I Z 0 I t I W p r R g m W r S 7 m L 0 E 9 l S 0 f R n l 3 o I r u / 9 8 l 1 c n q 8 t 0 S r 5 s A S 5 t q k p p C r 5 e y C a q p Y G n w p u a D e I 9 g n x R C Z 1 i 4 k 7 e O G 3 R g O 8 S U G p a W H p F 1 0 m m 7 1 1 o i h a A L e m 5 b M e m 8 n t c z Y n I e 2 h P f f E k p O W p u 2 0 V J G V q S f 0 d a s a + s / e o Q j a i K 8 Z n X t w R N 9 y t / f l I o R X M J p 3 b S t d 2 N V K Y O / r P v z G O 8 D 7 j 9 M H m t t o Z 3 P 3 Q 7 E c s M c 6 B S 4 T 2 3 7 o 1 i b S N p i r o r E b U 1 a x K C S C x q y E J b P G z k g z g z k 8 X 6 2 i b L p W / F 9 r N B q g z L a F N A 5 f V E t Z t y G b l y D q 5 G D v t H 6 M c j T d r H C P + q k n U 2 h 2 3 U c v x j t 0 6 e 0 n B j P N p l u 3 q O D I 5 g Z m X F 4 v m 0 w + l g r B s 1 O o N a + H X m 1 R d w f Z q W Z v 4 6 6 u 4 K / u z v / g z Z Y h o b m 7 M U s i h S p R w 8 x K g K 3 d l c 2 8 B S c g W r m R Q m h g Z R r 9 Q x l V 5 H x O V H l R W f m V / D 6 F A 3 r W E B 3 V 1 R 5 u / E 2 u Y a h n o o / e U q Z m i G V z c K J A 6 J L u 2 7 T V B r r B h G u J p a w e e u 4 u i u E B v t w 3 D f O I r M O 0 t r q 9 e j 2 P Q I O 9 r 2 3 z N m I I G 2 8 7 B 0 8 3 d R R b 9 5 K F h X U R o + M m O N M F Z k V T J G E 0 P w M P 3 M f K X l 5 b w r 8 l y O q X U + m V n m v 8 0 A T L z H m P n m 8 v 5 f p E 6 d r X x r B / N V m 9 g + B f f a d e W v a 2 Q U K 9 S E Q / d p O L v d 9 p t T W z n I H 2 S 9 z Y K q R b q P + d g g A r / z U w 6 3 6 i / B k p J o D w j y H p 7 X x p Y a V l a o j 0 Z Z T e g I 9 y x I 2 P L 6 V p 3 N v s j f U n b a k 4 E + i q q t v C S I P G v 1 N m h I i E e G s M P L 7 5 a H 8 t o + p L K i 3 f X / X 2 f f H h z X d Z / 3 L R a 7 2 P c u d g E s 3 i A I v k W K 1 M O W b M m y Z c u W r C S K 4 8 R u n K a x E z + S T J J x Y r d O J 2 n H 7 E w n a d J O p / 2 j a T J t Z 9 q Z p k 1 j t 5 l O 0 j w U 2 b F l W / F D s k h K I k W C J A j i D e x i 3 + 9 d b L / v d + 8 F I V r 2 p D 3 k x d 5 7 7 n n 8 z v m 9 z z 0 P P H 7 P L H q N H G k v h U x w E C M T G U x n / B i Z T m M 8 k 8 F E K k p B H U a I Z d r 6 O 1 a h K X K a h S 5 3 x R + O 4 O r S D n 1 5 M g P L 1 M i w 6 t f 0 M b V B d c k Y m U w N k k Y j f N b U v B R N x w G M x g Z Q q H Z Q K j Q d o N j P M v / 8 P / r 0 o + d j o T A i o S h a j R a d s w I i 4 S E k t T C O D K U J h t o a q k T V m c 8 3 6 d / 4 c e r U w 0 i n Z / G h p z 6 C V H g U 9 5 9 + O 3 a X L m K p o G 2 f R s 0 0 0 Y y B a o O E 1 + 6 T 0 M c R p 1 l W L F P 9 0 o 6 N s v E L c 0 f Q r J e o D Q f Q 7 D S x v r m J K e a t l c o o 1 p v 4 y n d W K F 0 k 6 9 k w V 0 N p u 6 Z g P G V r n 8 K h A Y y l g n j 7 g 9 O M d / Z N C 1 L K V H p N 5 H d a N P k o Q Y g 8 E Y G D W j c Y c l m q C M a w x P K F W f l b Q j u l o o 0 S M Z G + n Z B W H M a R / 8 A 8 M p f 0 Q c / M O x E I C d N s e x V t 5 Z N Q S G x W p h u M W L 1 H N + 3 B 9 z 8 o e A Q p u H V v + V y C J 1 T s 6 y b r Z x s H a S Z p x m i X x E q N 4 d d 2 v x r I 0 c g B U 3 r a V c F M O T G 9 i N d M U s H i 3 J P r 7 V f a V o S l 0 S w N N O g D p y 7 W z K R M p 3 f u x Q z M 7 5 S h o r z B H w W v n f q r Y X S b 9 M y e s j m P F i v c O r + G Z w 2 t B 4 Y o p A L Q e j U m 5 D v + 8 J 3 w o x A e q O O Z d 8 7 T B 9 J 4 B 8 1 M w j q c y Z K J R l h G B x M k 3 R H S 7 H h 6 l N q r j x L N t E 6 r Q U 2 V Y V M C p k G F R 1 I e 0 l E f 6 a + H O m n V 0 5 a i m J 6 + j f F e 6 5 b f c / 8 c F Y J j S q / u r N I l o T 8 2 F M D a b h O l E l 0 F 9 a F o h G 3 w P / T g q f N 8 Y h 8 N 2 B d / 6 2 w y U t Q f p B R I s 8 N E O D 2 E 2 K n h M F X f U A / F 0 i p 5 t Y p r N y 4 g V 1 j G q 4 s v Y Z c A z V O 7 t d v e p M c k x r P D 7 A m p 1 z 3 E t c S e v 9 V a A 7 W 9 N l r 9 J q 6 s L y M T j d N k 0 3 m v L e x u b 7 P / B v G N S w W a j z R n S D g e I e g I l n A 0 i o V j U 3 j r v R E c X 4 g g m 9 7 D V m E D b 7 / / Q e T W N u j 3 t X H m z H 3 4 0 y 9 d t W 9 i k i g 2 c G A l u E E I N m L U v S 6 2 X X X w 1 0 d N P O Q e Q a q 9 J r r V K g m I + V 1 + E H G Y t H c 7 X o R t / c U 4 x a s e k Y e I x o v X P x v t I g K 9 j 6 3 G I G 7 w m O T g d T A c j N / P 5 6 Y x 0 5 P 1 S E v q F A q r 2 9 1 i i x K A K Q i D t B D f e P B 4 v 3 y h / 2 8 I V r c I X v W 5 d d m R m H f B 6 z 1 7 c P 2 g 4 L 3 3 a / Z 9 W D s y K U 4 a T f E s S 2 W 4 6 V S q X 9 Y K B Z b a Z c z k M p Q D c A P 3 n J i k F d I l s 0 T g 7 7 Z t + p u 2 i p Y m q z f K W N v I U + g G M D W a x c 7 6 J p q k N e / A h H j C m c G j P t B 5 Z j 4 K n m C g h 3 i w i S N z 4 7 i 9 u U P c 6 Y M 0 G Y 4 8 o d F D a a r Z R B 0 6 C l e D L l k y 7 a B 4 g / S Y a 5 C h K o M 2 9 i B B Y t 8 3 z 5 6 b P 6 9 d c r R U O 0 K b X N N G N J q k b X m 3 d 3 M 0 A 1 N 0 5 o K o t W v k 5 B b C 7 J j h e J y M V O C 9 3 + I r 1 T 6 2 d m t o N 7 t 4 4 N w 7 s b t T p W 8 0 h 2 A 3 h F / 4 1 K 9 h O D a O F 1 / + l q l U D V 3 K p F q n S R k k 4 i c n J m 0 / P 7 5 A d y i O Z 7 9 V Q q m u r i V x E E r t V O S X x K L k U q c / e i a G w U r J 9 l k X k 2 Y z 4 z Z J s U 3 T b D 2 3 a 3 t b 3 N 4 s o 5 7 T x F h K a 3 K D I 8 1 1 k b B Y B g u 0 J w t 6 V h D h y I w U s 5 B R t E G M L Y J T L q a R q W f L y 6 W y d E 9 4 V a 4 9 G / I l 3 f l f E l N l K o / V y 1 t J V 7 6 3 j 8 f G n d I G d 4 j R 0 h 2 4 / 3 7 B S 6 P g 3 M t M Y T m U u h q Y s L 3 x S F w a r 3 K + w S m d U 5 c N Q L j 5 7 V e 3 b l 1 6 f s M 7 B h U l Y r d e O / D + / y X s l 8 V 6 7 F s W m b 5 P u 2 u A P n g / G D L m 1 T x I m 6 Y l o U 7 r B Y Z v + a W M o n 0 p X u j 5 Q o i S m Z 5 8 1 x m s r C z h m Y e O G w 7 i N O e 0 F m l s Z N i m q c l 1 i y Q k T L T j c B S N l u I 6 C A h X 2 o y H b U k l k x S W H b o T e e h 8 Y S n 1 j D 4 D k Y 7 T 6 S B O L s x i L Z d H i 7 A P 9 H z I h L o 4 c z T J Z 8 d c r L N j K q T 9 B M 3 F C E 3 F l X I V 9 a b 0 m P q Z Z t 8 7 H j p + v k y V W C O B J p J s K B u u b Z R a v Q 5 i 2 i i e D n 6 N 6 r L W b i B D P 0 n S t 1 A q I U 3 A t I Z o f b 1 o w 6 a z k y M 4 d n Q O l 6 + / j N 3 K O q 4 v X 8 G t y g b W X 7 m A 6 9 c v o 1 g r 0 p b t Y 0 w H U j N 9 q V o S e S F G I F v + N J 7 / x h q u X i / S H j + A O B E o H / f 6 X R u R i Q S 7 e O x Y m t E k J D q r E 9 l x s N d o R z e R H Z 2 l A u + g 2 B j A p R c u Q 1 + I 5 a w H y I g y 1 / Q N x a 9 T K d i e g G h f 9 j 4 7 Q E 6 1 Q 9 A k Q A b N 4 f N T W 8 o s M I 2 i 0 T + m 0 V o w D T K I q Y R M G 4 I m s v Z X / Q p c a Q z e a b q R R 8 B W v g p W s 3 h 5 d e 0 T q T 0 7 b T b m d O / v D k r j M Z v u J W V V o D S g f E n N c N 8 T z M Q b 3 z p 1 3 h W U R 6 a O L Y 1 x 6 1 Z 9 X v 0 W G G d m r U q 2 9 0 6 / H A x e e v 0 e v D 8 Y v G e n v U 6 6 Q R I 5 O 0 + T M U y 7 2 u 5 R N F V 9 Q U e Q i b k 0 V c 1 m g 7 h m g c i B o h Z P P Z x B N N D E s W N n 0 N C W z s l h N M k w g k 8 + o I S 9 J n h P j G d t T d 8 u X R d N x C 1 3 G h h P D Z t w r O Q 2 S S G D z N d C J j 2 C x e U l N O o 1 0 g P 7 h H k H t b t t q 4 x h W m H b + Q p r H c T H f u y d 2 L x 9 0 5 Y w a Y + N I I V C m H D r i C V Z R / G x N N a 3 G i Y 0 b d b F U + 8 5 e z 6 Z S a L T a x P g I A 7 P H U a t X k U q m i B g 2 n K J j M U G 9 q l 9 Z J Z l 0 g k z 0 5 o k t C W q 1 L H R M Z q C 7 A i q 1 n x J C 7 0 a l J R + T I 9 M o F 3 c t f z p y S Q W N 1 Z N 0 + W b J U q T u p 3 o N z s + g Z d e y e O F 7 6 y i Y 9 8 0 N G n E 0 G B / T Z s Y E T G e Z W r L 3 w e P 0 C Q Y i q J c r 6 B W L p t G i v d j S I 2 f w s N v e Q u O z J x A h E j 6 l U / / g g 2 e j C Q i + L V f / S U 8 8 8 N P 4 u a V V 3 F k f g a f + c y n 8 e W v f I 0 M T c J h F Z o 6 o 4 0 e R d B m 6 m n 5 N D t I z / p G R 2 p w C F d w S e M x v W 1 u S U K W v y X f w j S b w N X w M p l M g 1 j S Y E b A c u 7 J d D b j X T S q x r m E J o J z C J h B 7 f 0 7 h H 3 i V R n M a 2 Y Z p Y R O v t f x L l a B W 4 / g 9 o L y i d G 9 e 8 t v j K l b N 5 1 F 6 5 4 3 h H f f R P w 7 B A 8 u J 4 + Y n n D J p 1 S k N J I 7 / M 0 G E 2 b + S h P R K l D f 6 J R 2 a S a V I Y Z 3 c M 9 4 X t q J Q q 7 G R C a B C I W r B o u 0 B i 8 7 O 0 k Q A y j m a U k N p y i 0 q 7 Y Y t k G z t y 9 X o 9 7 F s a k p G z X W Y X f h W A q F Z h + T c 7 P 0 t / 1 4 6 3 3 n m K 5 r K 4 U z N A f F z N G I x g 9 C W J h O 4 7 6 F Y d x c X z G B J S E Z Z / 4 W h X e c l l y D 7 k A / 0 G e Z W T J U h f 0 u f F J A / / K n 3 t / X 6 Q R V a i B t 3 5 S K j i C X 3 0 F 6 O I 1 w P I J L r 1 / G 4 d k p z E x O 4 / L N J U Q i f g R I + F 0 y V J P + 0 s D A E C V D C x O U G N q Y p d l r o k m g h 4 J R l r O J i d E R + 1 Z y e e k S / L S h E / E o m u U K T k 1 P 4 U Y p j L 9 4 / n U S c M e I 1 6 Q Z c e c h 0 I i R 9 W j o V I g P B H 3 4 y f f N Y 5 T M u L K 1 a h / n t A / 7 y G A K K / T N 1 r a X c f V y l R 0 Y Q m 5 7 F y G a r f p Y H W S H a A h W c w t F J J o u 1 a H o 2 9 P w L c 0 K H 0 1 K a S x t s N i s l U 2 j k Z W M F I V g 4 t Q h P u Y V T G S p O x p I 7 / l O m t 2 I U 3 6 V p K + c W i L B f B H G W 3 q V o Y a J W B h E e B 6 B e 7 9 3 B 4 9 I V Y e X 3 q u T v W J M r S l H 2 k h l r 1 S 2 o X 7 L I 8 5 V P t 5 6 Z d w d v H I U v N + 7 w 0 E Y / 6 7 B G I r Q y W / U f g 9 9 M o T 2 C 7 S Z H K z H c C 3 N r v 9 M I z j u h l F s L p D 6 v i A e P p 7 E o a w O 2 6 s h m U y j X S k g S G u p 2 K 4 i G R / G z k a B v 9 q w v 0 W G i K J Q 2 C W 9 H t I e O e w h a h 2 W p j V z u x T A Y c K R J x 1 U a H p W 8 l X c f / y I L W x t 1 t t Y p w 8 / f 2 i G d N 2 k 7 R i i R i t T e J N 5 6 G I E S I P Z 8 U n s 7 B b I f A m U t r e Q b + y i T K 3 6 w r e 0 5 Q A t I S o P / 8 L 8 5 P k q z a N e t Y 7 p y X G a X N q H P I g u 9 X K V f o l I q 1 j q k F B f R 2 y Y 2 o E E n K / V U G 4 W a D 7 5 k R m e t v 3 K f u G X P 4 c T J 8 / h x o 0 V / M g P f x h n z z 6 M j / / s p 3 D q 5 C m a S f S 5 8 k t m q w a Y f 5 R m 3 n 9 7 9 h a u X c / Z 7 j L O v m o u U t X h 7 u + + 9 B w Q I o g g I i S R H E C c q r l C L S o 1 H Q t F M T U 9 j m 9 d v Y D M x B g u X t x G p a a 5 W T 6 b 0 C t S 6 J B Z 2 j L d x E C M 7 0 h 9 E M m 6 t 8 0 S a b v L V m + T K d m 7 j l Q 3 j U M J y V / B Y / 4 T J Z D i h X p d k q I e I X p a R u U 4 b R D b k f H I a G Y m e m 1 y 8 + j y m M M j 2 L u J 6 u 6 g P F 5 + B Z U v X 0 n L Y + Q 3 6 b Q U T S R V E N E q r T 6 4 2 r O b 1 w s e D G 8 W 7 k 5 3 d 7 g b T j 0 f v C y o z b r X / E d K d D 1 r o M H q F b u R o f S J Q c x 3 d 3 k K + z G + K p 4 4 P Y 5 I j H 4 U B f O Q P 8 I + 7 p K h 6 L + L b i V w N b u + 1 U S a v n m M d c k S K t c q N k q 8 u k W i r 7 W p H M a Q p J l H U 0 Q r 5 x G j 0 A 0 n x l i + h G Q P Z Q r e T C J D C 0 x 7 u O + a V h o b z Z r Q b p F G d R L M e m 4 L J f J E m G 2 i r m W + I O b G p h E I D 2 L 1 d p H W C u P m j q b P N 1 t 1 H D 9 y n E C H s U u H r N J r U I 1 t Y m F u H j s 7 O X J / A p M 0 z 3 a r R b S q z q J D H T C Q o L n V o m / U 6 V f x 5 3 / 1 P / H d l 7 9 B p N a x v b P E + + f x 0 r e / i s 2 1 J T z 7 l T / H T q 2 A V J g M x Q Y / 9 / V b 2 G 0 N 0 R S i w + n s n G J 9 Z 8 i z W y J G z K Q E f A 7 T d x K 9 h o i A c y d O o 7 C 5 i / H R K Z o B G V o R E a a T S 8 h O L O 1 h c 7 2 E t 9 5 7 G m s 0 R w 0 t z O / 4 R y q T B M h / d k q C E D u w R w Z n B 1 P t / 8 z f + w B e / u b f M p 5 + E r N p t H l Q M y 1 k r h G B 2 q x S 2 s f m p I m p S A Q a h a Q a Y n 6 Z K S 5 z y M Q R s G b b y e x x i E j 3 I h K P i e 4 m J J v 9 L h j v R L 3 x P c s 8 S N z 2 T s 4 2 4 / e C J F b m t 1 2 A t K S C / 6 z / 3 P x v x h R e O F i H B c H N 9 I L W 3 r i v 9 S P r Q b 9 e a V 7 e g 2 X o C 5 T 1 s v q a Z p y W t W i q k J l z 7 F j B I h 0 v h H r M P o A 2 y + Y 7 l q O 3 b C k G a L o d G o v i / r k k J o Z D 5 r N r V r q s D d W / u 1 t B h E y h g S 0 N 8 U 9 M T N r U o p 6 m e 1 F r S C / J F x t O J B G J D m N s J G N n W l V K V Y x P z 1 K c 0 g c f H c f K 2 g p / x z B E O F u 0 l F Z W V 9 D Q 9 L v B I a a l J g y E b R x B r o w / 7 L M D u Y f Y t 2 G 6 F a l E D J 3 W H o b D P S w c i r J 8 p n n o o e P n T x 6 a w t x U F j r 6 s b H X R E Y D B T T j F t c 2 M T k 2 h Z i W s d N 8 0 w 4 + F W q n G c 1 u i G d x 9 a Y 2 v + h j 7 t A 0 t r Z J w J T 2 I h R 1 e Z H + U z I Z x d L a M n K V H H 2 m D P x E O H w h v H C l Q i n T p 7 / i + C o i s n 2 k C 2 k e o h T H 6 9 L z z 6 K x W 8 Q n f + 6 n E S L x f / Z X P 4 M L F y 7 i Z z / 6 S b z n 8 a f w n R c v 4 i M / + d N 4 / i s v 4 j / + + 9 / D k + 9 7 H / 7 T f / l D K 8 M j R O 9 S 2 X t E p E Y P B 8 k P 2 n v w D / 7 J J / B 7 v / + f c e 7 s W c J J 0 z W f x 3 v f / R h + 7 m M / h W e e e b + N e F 6 6 f B M 6 n J w F O M z m E T i Z y j k s w G M e C Q g J Z M c n E 4 E 6 Q 8 R s C p 8 9 T a a w 3 2 a G B 9 / 6 V q y t r Z H Z B / D 2 x x 6 j x L t t b R e 8 H l N 6 T O i 1 g x H 8 Z X / r V 4 w g h t c o o 4 j O Z e i D w e v X H x S M k Z h u P + 3 + j 3 N j 9 d v d n X C w X D G G D b p Y 9 f x l 3 5 g 2 E p x y J f l P w + Y 2 a u u 2 K 6 K Z F m 0 g G W 3 g y Q c P 4 T 3 3 Z 3 F q J o K H 7 5 v B 0 b l R I 3 B d I + N Z 8 7 U l w K T d J s e y d i r i C J m l S d r a o T L I k k m u s + + G 6 e / E Q j p X t 4 W j R + 4 h 4 2 x g i L 7 S u f s f w K U r l 3 H s 6 A n U 2 1 1 q u T z 7 j T 5 9 P M X n F s a z W e J 3 D / U q z c t 4 D H n S X Z j m X 7 + r X Z l C d F U W r C / K N P 2 2 S n n 2 9 R C 2 3 G l L M 8 M U G r / 1 L 3 6 j / 7 G f / h l 8 / e t f x e k z Z / G F L / 4 + G 6 e 9 1 i J 4 f X m d E n 8 F c R J Z j X F R 8 n V a q 3 e p B q / l C k j s V T G / M E u G i 0 F L 4 r / 1 z e / g 3 g f O Y X V 1 h 5 3 e Z i f 6 k S U j X a c U C C Y i m K C G a t B U / N O / L S O 3 2 z R p b t P e v c C G s L v 3 E e Q R E Y g U E X M m 0 c d j J 1 N 0 G j M 2 T N x o 0 T 8 K + l G k h o 1 G w v i T L 9 5 C t 1 M 3 f 8 Y L R n y S e S x S T E y j G E j H 8 b 9 + / m P 4 4 G / 9 L m U l m U u 2 r 1 Z R k S A H A 4 7 P I L b Y Z 0 Y S g + D Q a e 4 W S K w G l w Y B + C j C G K D W s 7 p c h j I z j u a I 7 S 5 L a a t 3 B 4 P e e 4 y i 8 L n P f x 7 P f / 1 r q J c b O H X q O D V i D I v X X s c 3 v v w l c a L 1 i d J a v Q w O X O w r O f f S V I z X T A Q t g H M S u O n Z B o P l r n C w j x W 8 8 k 0 A 6 J 6 v 9 + M s K F 7 Y I S L k H x J 3 a q p j S T A x z f D B d g c d w c O w n 5 f m u n Z t 7 W p E T / k Z z 1 v T U D o x / l 0 P z O G B w x l E Y x S 4 b b o A z F O g r + O n 5 a E N M H V a S T q Z o K 8 M V N i P 0 a G I L U Q U b l L U S I u v 3 0 C Z d D A z k U W 1 X E R 0 O A s d / L e + u W V w h M J + b K y V C M Y g d B R o m H 6 8 Z m v k y T C h a A g T Y 3 H s 0 t 8 W r E O x J K 2 u i O 3 h b 6 O E b O C R 6 X l T J N p H s l q r Y j h F W J r 0 v 6 g w N l t F M n S U Q p 4 C g T A N s j / 8 j 7 / z w f P x 4 T S u v n 4 N i 4 v 0 a 6 5 d J J H Q z 2 h 1 a b r t 4 s j s P G o k n H y x R B b p o t C r Y W v r N m b o 3 G k / h z w d Q P k e + u C V G R 5 B o V j B d r 4 I D P U w N Z K 1 I W 2 t i 0 o E 4 7 a z 0 W Z p E 4 F Q G h t b b f W p j U q J z h W E H O 2 o 1 J V d z A b q E g H p E 2 W M d u q 5 Y z F M J K K I j 4 6 a F k n Q Z m 7 0 O y g 0 a p g e u w f f e f k 1 I p e F C Z H K r z K J Q C 2 j 0 Q l 2 p 0 + e w A Y F h K / Z w w O P v B 0 v v P A t E k U H j 7 3 j E d y + e c M Z e W J Q v U Y Q 9 m S k Z H E W I T N U G k e w q Q H 2 X v T h M B Q 9 I 3 t W m 5 z z o T S d x Z I 5 Z S q N 6 h F h i a g Y r 7 i l p R v Y X l / H r e v X 8 O r L L + L i h Z e x e n P R y W s F O o V Y f t U t B p I W U p w E C N u t T V O k C P S e G a w / n X s n q H 4 v H L w / G C R 9 3 R v n h + m M i f l r K 3 X p x / T p O 0 j j s H S L V 9 t t U g s F k t c n n r C Q t O 9 p 1 I 2 m s p 9 5 t U 2 b t N h Q v 4 a P / P B Z H A p 3 E Q 0 H U a e p 2 i T N B a k F m p 2 + n U u m j Y E C F N 7 R o I 9 M R I 2 v U c P u H s I 6 i p b a p 0 T t o W X 4 k 9 k x F M k g p U r V z m M e J q O V y J S p V I p a a 5 d M J L e g j p H h u M 2 Y q J N e o v E A 6 2 m g W S 5 h d W c H J 4 8 e s 9 2 Q t X J c M G s v Q F 3 + o S H 7 l L J U W E O T F l W A A p y N Q I 2 + d p g m b T y q 8 3 1 l s b A / y I B + X 7 B + f u n K i 1 j a v I 6 1 6 6 / i + L 3 3 2 s z z f L G G P t u f J 4 C d X t O + F 0 W C d A j V 8 F I b I + m E O Y R d E t c I 7 d t + y 4 / t U s 0 G H B a m J 7 F b K 9 k Z Q r G h A e a L w q d p T P U W G 0 G n L j G A G 0 t V 5 q f N L y k n D L D z 9 e s t o D O C E R J 5 7 f n 3 M D E S p r S I m p T Z p X a M x v y o l C v I 0 / n U N 6 r n v / w q p b v 8 G 6 e s g 0 G r h T / + s / 8 A U 1 M z N E P j t L t 7 e P v j 7 y J v t H H 2 n n s w M z W F O P 3 H W 6 v r z C p x I o J l x z K v i n P 8 K s Z K 0 p N 4 H U n N a k T Q h F O w C g l 2 b K R W 9 h p V O x 9 x m c 3 8 K 0 F k I 1 t K q z J V n u I I q z T N Z 3 / 9 c z j N v l / Z z O G J p 5 / B Y 0 8 + b Q c o 5 L a 2 n L R u m 7 w + U b A v 8 7 y M c e l L 0 H V w 9 2 n g e 6 X 3 0 r F O L 3 h 5 v d / v C Y z 2 T F R L I 5 9 R b e O z P l p r q p g O k 9 A H Z Q 2 C S H A 4 P p w j H O R B a d a T l l s I Z u 1 u x B h j w D 6 J c 4 g m u + D + x J O z y N C f r r Q 6 q F b q q N L s 6 l D g 6 s z d p G a H 0 / m X h o q S c b T B p P p 0 6 c Y t x N M R O 7 N 3 Z 7 t C 8 0 z 7 o D g 7 W + l 8 K A m o L r W F J q q G W f + N W 0 s Y p t u h g a F Y I m W a W u l q Z N x M M k 3 4 N G j l s x U O m 9 s 5 P r M F x F l P K 9 G p c R u k 9 U a z i l v L G / T f 6 Z N R k D T q P W z R t E w l 0 v R X u 6 h q b d S Q V j 6 w h 0 h P v j / 8 N 5 / r / 9 l 3 X 8 C R q U N 2 E L U k q j i z T h N v J b d t + 0 T o 9 L 2 b l J 6 B j h 8 / + i N P 4 c K 3 L 7 G L G t i p N z A 8 T E A 7 T X N C w 4 N h j E Z G U e P z 1 u 4 2 q t R p 4 5 Q S C T p 2 w c E Q l n e 2 c H P z B l K j W X z t 6 3 U y h 9 b u O M g 2 a U b E e 4 S j Y C N V I s A g N U z C h 3 e e 0 6 E D P R y a O s y G 5 I i s Q Z p 7 l D b h O P 7 r F 7 4 r S i C D y j k X o p 1 y r E y p O D o + N t 9 N g w e K Y 5 Q N T B A Z 7 G k i z D m l z t L z m R n s 2 5 T 3 E V R w K d a C G E N B B M f L 8 s g c Z B p t B m l S m s R m e V i W r R t i O l v A x 1 / 5 O S I + h f 3 W q i j 9 a l D D Y 1 g S s 9 o k R I t Y N L 1 J 5 e 0 z h f 1 h / Z S O P X V S o 0 R V y V 8 G I 2 a + O / h 7 s H + 9 5 z c z B w 8 G S V 3 V o T 6 x 9 M S z j 3 6 L + t E w R 4 2 x R w k u Q t T g Q E + w 0 z e x z S o F G 6 H s S 9 K T a P c o X J 9 + 5 B 4 c y w w h g B q l f J 9 W R g I 7 1 B C T 4 2 M o l G h m U U g l K a C 1 V k k r w 0 u l M u Y P z y J H W p S / E g o N o F S o U / A U 7 a N 9 n F a K j l l V K z Z z 9 N V H J l A r 5 j A / O W q 2 g p h e B 6 9 L q C V j U d J G C 1 v l A i a y U 2 b M N O m b a X M W m e z a a b b X o + V E Z t L A Q 6 P Z w f p W A a l 4 F G 0 q l f n Z W R R z R Z q T h I U C O M L 0 W q F e b O 6 i R c a u t + v w P / P h D 5 5 f u 7 m K p Y 1 1 v O O x J 1 C h 9 P / 4 p 3 4 d P U 0 H 2 R v G P / z V f 4 r j h 8 + h V N z D J z / x i z h 5 4 i x + 6 O k P 4 s U X L + A t D z y G Z m H L Z q r v l q q 2 2 + y m z u b 1 t z E 3 M U + n c Q Z V a r M K A R t l A w o E J j s x S a s h g f j Q B A n B h 9 P H j 9 t w f b W Q t w O z d e q 4 g k M y w g k J k J 3 R 6 Q Y R i j V x / N B h 2 q 9 l m z Y i s 3 S t s k t p M Y Z X r l D C i D y J E N v X g f m M k E Q I f n a s C u S z U y Y v E q 4 Y S d J N z 3 s a + W N + 5 f E S q V 4 9 S 6 L a 8 g R 2 s p Y B C H m W T h q I 9 e m 9 J D X / G j N J c 2 s G t e 5 F v m I Q / Y o 5 T J u Q U V S L E b W Y z 4 J i d C m t Q 4 g 2 U 4 O S 3 0 Y R V S b r F 1 F b u 8 Q Y + l U e l q G h e W f p h l e e X q u 8 O 7 9 3 B 5 X 1 g 4 J B w 7 o F u 8 G v P + w T U h 3 f S V C o J w S i 4 C R c Y j Y N i F C y S 1 s L x P 5 A A A P 0 b w d t R k Q I n W o Z 9 0 6 G 0 S Z M + p Z U o O k e o l 8 z H I k R H b R i N L u f 5 T e a m u Y W t P 3 0 x f T 1 R o d m Y B b N a t X 6 7 M b q B h o 0 D Z M R b R 0 + g A T N v L n p K T J 1 G y k y r o a 9 y 9 U K r Z O I M V 6 Z 1 k y j S U 1 I i 6 b Z 6 q O Y b 7 D e I d a / a + a a t K E Y S y f I V F i H t t H W B I V 8 I Y c U / b t z D 7 6 X b U v Q n w r i L Q + / i / R K f y 4 x j H c 8 8 j j h H E G x 1 K Q b S V / 8 y S f e f X 5 + 4 Y S d I o B e A K s r V / H U 0 z + E v 3 7 u O T p 5 u 7 h 8 5 Q L m 5 + d w 9 u w 9 + O M / + m N s b 2 6 S K 4 O 2 P / l h c q x O e 1 + k Z t P c u o n Z G X b k A F b X N / D J j 3 4 a 4 W g W Z + 5 / C M V y D b e X 1 / E 7 v / t v E U S U n H 4 c b 3 v r Q 9 a B 8 z P j + M 1 f / y z + 8 i / / w p 6 1 X b M I R U F E o 0 s E q c G L B 0 8 f Q Y T m X y I a R Y w S o k X z Y I 3 O Y a H g x 8 p K z m b H G w G 4 j G B l 8 F J + h y I Y J H F Z j 0 h J a f b 9 D L c e b 5 S O b + 2 v N A N f 3 J H Q R L Y y W / G W b c + Y T J L V q Y s v r F y f m a 8 G O z W M r V l i E G N 6 d X t M Y X m M E f h L 2 F S w o q x u p v G 0 k p 6 d / l D l A k P l 0 t Q i w Y i j P Z 9 K w U u j 4 N 1 7 v 1 b v g V + F g + n 3 A 9 + z V N 7 w 0 n t e N j N D f a R n M b e Y 0 q f h c f k 4 y k Q T V B q D O J B F I J 8 r Q I b y k e g 1 e P L 4 w y c Q H m g 5 2 7 y R Y K f G q V H o H m g 2 S Z C a L 5 M Z t f V s C / O H 0 K z X W R Z s 7 m e x W G V 8 A 3 O H Z t i H J H Q d L 6 r l 7 B N j q t S C p h 4 J C f F o 0 n Y l 0 q 5 U L Z p v G s G r k S G L 9 K v S Y / T 1 x z I k l Y 6 t g D B T k W a i P t z m i 0 V a Q t S O V C b f X V k C N Q F G a U 2 t b 6 9 i d + s W V m + / T j 4 J Y n 1 l E b V q j q Z j D t 9 9 + d t o 1 n a o 1 d o 0 N 9 l b H / q x B / s L R 8 + Q U 1 f p 8 5 R x + t h p r G x t I z s 1 j x v X X s P y x m 0 8 e N 9 D e P G 1 1 2 g b + 7 E w n k G u v I X A Q M i G F f t 0 G l e W b y N L J 3 K V Z t 5 b z 9 6 L a 9 e X b d O V Q q 1 M Q t t D d 8 h H h 3 v T p E W 1 Q Z 8 n O I k v v 3 C D k k x T i m S v B t G q 0 l z R x p I k i o O I N w J i J 4 m Y 3 / 8 j J z B Q 3 c Z D p + 7 F d m 6 T K j u I q + v L e P 7 b W 7 S 9 S a A 0 9 Z R O D G V 5 n W I s q E z 5 K n b v E p K V r X j 3 2 Q k k F n u + o w k k / f f n v z H Y e i z V I w K m 5 t A s D J k 6 z k u W y X e a f + g F s o K z W F E M I u Y g 1 o 0 5 e W / v W a 5 i r V 6 X o V W a V 5 / C Q R g t v Z X D e B K N R l 3 9 h K O t 3 Z / c t l s b B a P u 3 X Z 4 v 1 4 Z X p z C m 7 2 3 v n S f 3 2 g a 8 l 7 P 1 O p K o 5 F T W w i o 5 q k c a k o x 2 R 5 9 J B 1 F I 0 E Q p K b q D O 7 h q Y c P I d U p Y D R N H y Z I F y E z g v K u 6 E m b 7 g R s c a d O e u n R l J 8 k 8 V f I V K F o z A a 7 w k E f q q T B e q 2 G X Z p 9 w / E I F h a m 8 M r l 6 z b S X G 0 w D 3 2 j Q l E z J x L U Y C 0 k h 2 P 0 e 9 p k 2 h q 1 5 A C 1 k w 4 t G K R G S x C P Q e z V G q x 3 k N o q g C u 0 1 F r U Y q d O H s N z L 7 2 E B V p V + h Y V D U Y w N z 9 t E 3 B 3 y H R 7 t I z Y Q R j J J h A L p V B p t 7 F 4 6 w o Z k 7 7 k m X t m z o + l M 7 Q v w y h V a k 5 H D k a w s r 6 K k d F h u Q I M A 1 S V m r Y R x 2 E 6 8 I u 3 l 4 3 4 9 a W 6 W q m Y j e m j M L r / 5 C l i x k c b t 4 i L t 6 5 j j h p L 8 / B q 9 Q o r n 6 a P 0 s d L l 3 d w / X a L 5 p p j q / Z 0 o p 3 M C B E b k W H L L Y g s 8 2 N c a a 1 L m u f W 7 U 3 E U p q 4 W K a k p B l Q q W K X f t T y 1 V 2 r V / s R O M s o e H O H F u 8 E E Y d L I A o H C e h O I P k T s U Y 0 L E e a R i a a y p O 2 E Q G J w f W 9 S K a e x 6 R W i s r y k d C l J W V j 6 l G s o T S 6 + N 4 Y U Y X x 3 j 4 Q 2 7 O N O h u R C h 4 z F a X Z 3 P K d y y V u 3 b v 1 W T n U f J p B o j S a 5 e 5 9 M t B 7 0 3 A H g t p 7 M J j 5 + Q Z G u R M 0 C G A f Z 6 0 i a V W n X i e w H L 7 X o l N Z F b Z S W W Y s N Z D B S F w 4 k 1 F o r r I O Y 0 x / A D F q h L N T 2 n K O z M Z k + u a n p e d B m u S C N R w K 0 e S q s u 9 6 a J I u 2 j T L N U j x 2 s 0 l a g p q F W o o H T C g 5 U C q R y s f R I O 5 n T y m R l J G S 1 U y c 5 v 0 l C I 9 Z z I J O 3 F D K 8 r 7 v g r S a S 0 p y p L B K u h S c / k J x J A m T N P n X 9 v Q R I A u x q f n 7 A M y j V R o b 8 k o / a T s y A g t o H V r e Y E W U Y j M e 3 1 l G S M p f f 9 S f / d w 5 d o i S j J 1 P / S B 9 5 z X R z E h I x o I s e A N p J I R h M M p l O k Q y q Y d T i X x j k e f w m 5 + g 1 K g w Y J G 6 V M V M R S L Y D w 2 j q H g I M b 0 R Z y c u 7 R + 2 8 b 8 6 5 q F I G K k x O 0 i g i / + 1 S V c X d 6 j 1 H C + y z j f b Q Q i O 1 8 T O v V A 5 A r l b 0 Q 7 g w i F 7 3 X K Q 5 m a 6 P T h a d z M t f H V K 1 W s 3 N z W b C G + Z 1 6 m 0 b + 7 C c c L 3 y / + Y F A a E Z k Y 2 G B S H g d Q 3 j o E c 7 A c I 0 g 9 8 5 3 i b e o P E S p z w w L j j A n 5 a 6 W o L K 8 8 x t u v 3 r m M Y P 6 I f i m x j T g V 9 K s 6 3 L q 9 e B u N Y 3 o z J w m H j M r v + Q b H 9 L o U v F 8 v e M x 0 M N 7 u N Y O B 2 k X K k i 1 2 4 X V h c Y O T x 3 n n g E P 8 a D B I + N Q j m U v M b o x O p h I s / W 4 D N 2 7 d w v 0 L Y 3 Q L 1 k n g G Z p p G s 2 j P 0 L / W U s t N A o 7 p J n z Z M o m z f y q 5 l 9 q m J 7 l z s / N o k M N N T w c w c 5 W z j R Z q V L G E L V g L D S I F u l K u 2 + N 0 q T T C u J G L 0 x h 3 s U n f v 7 X 8 L Z H f w j 3 P / g 4 L r 1 6 E x / / x G c x P n E c J + 8 5 S 1 i D e O X V R T z 0 y L s x N j 6 N z V w B j z z 0 B P n g J q 4 t 3 b Y h + Q 5 N 0 A g 1 q d Y 9 Z S g E N L o c j U a o / V K I D 0 V p n e z Z p j 5 i b P 9 T 7 3 3 4 / P L K i s 3 + F k D 6 8 K W G x S I a y a E K Z u O 0 U v b k / F m k U z M 4 f c 8 D e P T R J / D K p e v 4 + x / 8 K L Z 2 C 5 g 7 f B T L O 0 s 2 s 3 w 4 G K V k p T 0 c 9 b N D N A T Z w 6 W r q y i 1 4 h j c 6 5 C Z K F 1 I L D q m U R 0 f Y M P 7 c q b l A z D G Q c 7 3 I p 8 R R m z d v U F c X 6 9 h K 0 d J 1 N B + D 0 S W p p s w u Z E n f / c J 8 f 8 z W N 2 e 6 c m y b K s u F U w C F M F a t L Q n 3 2 n C p 6 1 F U m t o d t l E X h L k n o a Q + N 5 2 z l W 7 V K 5 T v L V F l z 0 z j T E W 6 5 D N J A L U u 7 u Z Q U F 3 0 t x K 7 8 H m j B x S W w z S Z 6 M 5 Y Y f A e c z p 5 v X K k f b m j W l W L y j + Y H + J c H V g m U 0 T o i n j m c f K 5 4 V 9 A W G N U s s d b c 4 O s n 4 T H q S Z d W c r m o 3 p / Z g e S + P c q S M Y z S Z R 3 t m i b x Q y z R Y L 0 J d h f 2 r v D R 0 V t E V h X S 3 W r d w u z b Z R + l X K r 9 k S l V I R 5 T q F + n A C Q W q X 7 M Q U J t I J b O w U y L g 0 v a k x d q j 1 d B r H b / z m b + F d 7 3 o a Q x Q O W o f 3 r / / V v 8 Q m / a F Y Z A w z h y d x / e Y t f O D H P 4 L s 2 C S F / q B 9 2 z p 6 6 B 4 8 9 c w H 8 D f P / g l G k 0 m a j n E 1 B n 9 z 8 Q L u P 3 I M h U o R k V D Q P i S L o T W N T Z s Y C f 4 x M p v v 8 / / o J / u F F n 2 c 3 R L i g T 0 m F r F 3 b f 1 H g L 5 B i / c r + R 0 c H Z t F i / Z n r d J D P E k i J u F s b K 2 i V q g h m I h r P A D / / P P / D r e v L Z s p 9 0 d f + O 8 Y H x / H 5 N Q 4 X n n l K u 4 9 + z b 8 y j / 7 b X S o l p 0 9 C F x N w E 7 y E S D z U d j 5 M m 0 M e Q c Q q L D / j t r v o K l i h K c R m k b T T D 7 t I 6 f g E d O b M d c P e q d g J o r M P A a l l Y m n I J o 3 u M w U I p P w X n a z T Y B l H q 0 M t T R W r v N d x i G m A f t Y 7 Z W j 9 7 o 1 w m Y 7 b K C C + Q 9 q j D e F T U y s N I K J 6 f U N y k c / p M t i W A 0 g B q B 2 V F 1 e U F k q 1 9 r M P B Z + Q D 2 2 V M G F V f D Z y Y x q i B u U / n t h 9 b S i y n I 1 L P P 0 a b X Q 5 r J t l I 0 J 2 Q 8 P n Z n C 2 y Z o + t / Y w Y n 5 M U p 6 D T B F 6 J c X E S V D 6 J v l 7 W 2 a a N 0 w 3 v a 2 9 1 E w D + H F 7 7 x E Y g / i L Q + 8 B R X 6 R 9 e u f w f p Z B S 3 V j e R I L M k U w m z m C R Q G q Q l u R z p z D j y 2 s 9 k N s v 2 B G h p 9 Y x + B / w 6 y L p H o R + k 5 t F E 6 D Y K 9 O E W 5 k 8 i Q r 9 K / u 6 l W 4 s 4 O p J m G 1 v 0 4 c g s V B A t a k a f P h O l 4 m a 1 j W d H s Z 7 L I R n V s g 8 K U L Z 3 f X s L / s f f f u / 5 U a k u a q H l z R y O z R 6 2 l Y / L a 9 u 2 z C H A B j Z r J c q a A L b X t 7 G 0 I d s x T m C L N m y t V a h j y Q z 9 U j + + 8 b V n c Z W N / c Z 3 / w b b p R V 2 a h 2 v 3 n j Z z L z f + Q / / g 5 2 k b W y p l U y C O 0 j o 2 1 Q h I k + 4 E B b Y J P 2 7 O 1 g M 3 2 s A Q P e a S 6 d f L f r T U K 0 2 J / G Q / G b B m I T E Y I T F c D c h 2 Z Q h X v b V n + X Y a e o M n k Y A p Z c 0 j Z h J R T j l S H t J w 1 A e y 7 x R P v o K 4 i r L w 6 C y b F Y B L 2 u z p e c 7 / g o C 2 7 6 M b f G g 8 e D T r 8 G s N r l x y m P 3 0 k r W H g m Q n g 0 7 S w h q / 3 T b 3 J 5 p V L r 6 1 A 6 Z U x w v y 2 O 9 J v j Y f 4 R T 0 8 N s k 3 1 x p M 9 d j 6 a u Y B b 7 1 C B 4 3 f o 9 7 e n F 6 X L 6 U e 9 V v i p 0 0 v L G N L b Z w A J J 9 b G O 7 V w J 0 y O D d p R R l J p J / m m 5 V I P O x I 1 T G w T J g N o F a 5 t E X q / n c H X x G s t q I Z 9 f w + 3 l 1 6 i h t g 3 W w u 6 O j d I 1 a A l U a a G E a P Z N T U 6 h 3 e p g i P T l Y 7 s X Z i e R y 1 e p 7 a i 9 f B 0 y 3 Q 4 m J 8 e p V U J I x v w I h S h s e h R C Z K L h d M o G J N q 0 o g K 0 f N p k p k g 0 B q o h 4 h B 2 I q M 2 p Q l S o G s U U j 6 g V q p q J s f m 5 g Z 2 C a / m v / r v f + D U + Z P H F l h h H 6 u r K 5 i e H G W i A U o N H W u T o L r N 4 G s v X c L 2 8 h I 1 A w E Z S W I n t 4 P x 0 Q l M Z r K o t J u 2 B L h R a 2 C n W k C L 2 u L w 7 C G 0 a k 3 b z G L Q P 4 S v f P M y q k 0 i g I i T + e g d A y L c D G j u m W i G w B r C h G w h y x L o j x M c p B I z 1 I w O r p w v 7 j Y 8 y 9 b p I 6 y I W R 9 N 3 y x 4 D O Q R x 8 H g 1 a c 0 I j j d O 0 P U L p w 2 g k X C E 3 M x r d X L e 6 l 7 5 R D h a e d Y v V N + Y w I G Y 2 A j f K d u J n h j / S p P w k B x 3 w 8 + x X t x + + U 4 J p d 2 P H L M N w e e / Y P o L I a X 0 o t R G M S c X n A Y i 3 F q o 3 U n n w i H j i 0 y / 1 Z t U B z z m 2 Z h H U 7 b n H A X h M 5 7 x W q 3 V W f s X L F 6 Q Y 7 X W j e C Q d d B 6 e Q b n V y Y R I i 1 1 K s V l k / f P R W j T 5 V D Z n S S W m e J P l U P j 7 z j G Y x k s y R 8 7 X 8 / h u z 4 D C Z n 5 j E z c w j Z k X G U S n n s y o + n 5 t r c 2 k Y i k c S V 1 x d R r m p L h i p 9 K i 0 C r F G L 7 5 k b I x d G w r J U o v + T S m K P t L y 1 s m V L j / p 7 b a S n J l H Z 2 k C t V m W z 2 Y 6 h G G 4 s 3 7 a B k l d v L 5 t / O K G B E b p D Y + N Z m p V 5 9 n m P P t 8 w f f g m I i w / E o 7 A / / B 9 C + c 7 g 1 E S f 5 d 2 6 Q g W r y 2 S U 9 v U Q i m 8 f n 2 J m q h K g c j u p T + V 1 Y 6 w t C F n a T 8 O E Y G t A U 3 D K N h 6 l w o d S / l b m n / V I 5 A P n j o D f 7 e F W q + B v 7 2 w S W k p A q X 0 V 0 e r h 0 V M w l C z A e 3 q a U R n W k G X f o Q Q 5 9 Y L 9 t G S Z o N D R G J M m i Y k Z D v B Q Z p F 5 R G O g 0 F I P P j 7 / Y J X p o h M Q c z k M Y T R h s o W f I z T r a V m G 2 x U 0 u I 9 o r t D e O a M S 0 q 7 R G n l 6 Z f 5 z B R 0 6 z T C 1 7 3 q 0 v 3 B 4 K Z R 0 J 3 l 4 W U M 4 q Y V M 9 l g B O O 9 M r 2 1 R 9 4 g h 2 A 1 O H R P y e q 0 y 2 F E C 3 o m 4 b F T n a F 3 a z B T u z A r W G 1 6 t p 8 7 8 R a s C S q L 5 R w I t t i S O T S 0 L 4 G p W f i h W A e R 0 Q F k a S 5 F p F 1 p 6 U y O Z 1 h 1 n R b 9 k I 2 y F X e 2 s b O 5 S L + p h k 1 a R f V 6 H p X d D b t u 3 l i 0 0 b V 4 M k Y G K C M 1 n C a B l 2 g W R m z l b o f E r w W z J T J s J j K E 4 c y I n Z y Z p 1 t T L N Z o E j I P G S B I D R U K D 0 J b i / + f S z d x 3 9 E j 9 u G 5 S a u L 7 I / J i V H 0 m m V k g i G a 8 4 S b / n C Y Q m d 5 e d n 8 z K j a x G 6 P 8 D c c G k S A G t 7 / + C O n z 1 c q J W q i Y U p 5 z e B N Y p 4 F v 3 z l d Z t c m I h H 2 O l 9 S o k U Q r Q x J c H 0 B T q R p N 2 7 m 6 d j m a R U 1 A f M P Z v 3 l 6 T N K / V 9 e 3 W N Z t 8 m r q 7 B z n v a k + f u F y M J Y f S X K P X 9 G t 0 j w d l W v S R K Q 4 / 8 J A v E k B j P i I b v R J z 6 G M h L p o 1 J U b 0 j k u x X O V h 2 Q E S i m R K K c P E t x H t p 9 g l O h O Y S h b 1 X e b x U r n w a f T 2 X z a 9 T N G Q W G Q F K s 0 o T 8 b 2 0 o j M Y E L R 7 x w x j O r V F 9 b j w 2 x C 6 W 6 9 g U L 0 2 v C w g l E S / C i 5 c L s j 7 Q d H O v n W 8 1 D d u O o e g F U e Y B Q P j Z H Z q q N 3 M L v 6 a + c d 0 l o e X j 4 i X Q L I 5 h R Z H 4 a R 7 t d c 0 i N / R x F a D 8 C F t b A 8 O 4 6 l O 3 t t i S 5 V 7 M F g V e u t m c I P K E E u p G k 0 J G 0 6 l c X u z i m h a S z L q 8 F X J X I k U + z t A F 6 J j k j 8 z M W G z u 7 V D E X P Z 4 I N 2 N t K U u H B S x 8 4 6 5 y 5 P T 4 y g U K 1 D m 6 5 o 1 C 0 w S P + I 5 l q X 9 K E T 3 K v U R j o W t K Z T P M i A 5 V o L i X Q G g b B o M U R T s I Y I Y R 6 k P / b i I s 3 B e B g R G g x H j h 6 j g P Z j 7 f a K m X 0 6 r Z O E j p n p Q 1 h Z X C T t J 7 C x s c X G + e 1 D d J l M 2 K C l t k d r z P / j P / 7 + 8 7 P Z t G 3 k V 8 5 X E K f 6 1 R E z w / E U U u m o D R F u 0 J 8 a o R S Q B G n Q + W / Q q Q s N J j A 7 f 4 a q e B p z s 0 c w P X Y Y 8 1 P H c e P G K v K U G p G I D 9 + 8 2 s C V 6 0 X T Q B o 1 M n N E y B N T s K v s 2 P s D z r 8 T D D P O r U c M I n 4 S g t Y d i b D l i 9 i G k k I U i U L I N f N d z E m V r D j L b n + d o P I 9 s 8 c j b p X t E C b h U z 0 M M p s o n 6 0 s M 4 0 M H P 6 h 1 B b 8 l o 9 U Z v 6 N 5 X D f i 5 l 4 b 8 P 3 b r n S R E p j g y n K 5 9 b l D U J I i 1 h w 6 5 Y W 8 U w s D y 5 n G N y B V Q x s d S n w P X H P f i V x k 8 A 1 W G O a U n H K x z g d d u a 0 k / / Z X 6 R a 0 x J q o 4 L 3 n U l H 7 h h u x J D E h 7 W D z 1 a a h J p + l N A N s g x s q p O n 3 d z g g H Y H B i 9 I + 9 u n E e J R B r n m k c Z 8 E f i i J M L 2 n m 1 E O U a B r d 2 J N A M i M T q G 3 f y O 4 b h I o T 0 y M q J S i O N B 5 A r a 8 a q N e D i A e o 2 + E 3 1 8 b e s V H O g g v 1 1 E u V E m 8 3 X R p u + z c O g Q 0 t l x C n Q d q d R E N j t h / d t r a 2 Y 6 f a 0 g t S E Z u d f q 4 y e e e h L N + g 5 d n 5 h 9 G 7 O j a u g T B Q M D 6 D J N l 3 5 a l X Q c D / Z p k n a R H h k l S M Q f r 7 b N Q q c P G I 7 C / 9 7 H H j h / d W 0 L z U q Z n d b F X 3 / j 2 7 h 6 / a b N f T o 6 P 0 N / U G e c N p F M M D E b v F J q o r S 9 j W d + 7 M O Y n p 5 B M p 5 G P p e 3 I c 9 s d g w 3 l 2 + i V i 8 j n k j j p Y t b 7 H Q S A i u 1 z U O M B E i I k v R d E o y k d a t l R C t u 9 5 B x J / C Z 5 d o p d R p N E 2 F J G 4 h A 3 X d i K m k M H + i Q s w 5 D H t 8 a + h X v E q g 9 m q a h F O a j R y D S G C I M m 3 u n w w m o O R 0 f S G t H B S u Z S M S m 9 K z b f C v W K + I W B X l 1 y R E W Q 4 h Z T P t 5 Q T A o r V u f y t J J f g 6 z q V 0 O U 2 n v P i k c 9 Y W T U s U 7 c O + 3 V 8 F L r 1 8 x s f q Q 0 s S O j W F G G x x h P m W 1 b 2 n K q 3 T G R I z n P / W Z J V A a 3 q p L l U / w S 9 s S K o J L 5 r Z 3 j l B w a z e Y z P e y d n m x T r D S C Y Q T 7 b y 3 p q s E F a L + o T U T C E Y Q G 2 z h v p M L 2 K 1 L i w Q R j S d o r P T N r K o V C h T k T R R y O d L U i P W V P l 3 c X L 2 B y e E p T E x l c e X a V Z v a 1 e S 7 Q r m G 3 a 0 d d 0 0 U T b T h u O E t l Y y z n B J m 5 0 6 z z i G b C H v y 2 A l c u n w V j z 3 8 C E b G N E G 2 j 6 O n j t O q S r H f g j h 8 9 A R e u 3 I R y X D Q 8 t v k 2 n a f 5 m U S f T J r I Z + z 6 U r 1 V t N 2 8 N K C W + G z U C / Z m j z f o 0 8 / 0 X / 8 5 I g 1 q l Q q I K X d i t o t 8 4 d 2 8 1 S V 7 S o a Z L a p w 0 d Q p G q 7 S V M u Q a c u k 9 J 3 p b 4 5 h N o T X V N M C n y v 7 c K G k 2 P 4 q y + 9 T g l C J I m 4 f O 4 S b R E B G y A p Y R J e m C w X q d T 5 S 4 b x i G 4 / e A h j 2 c F Q F B 0 2 T s T a c w n b N A Z V v 2 x + U O U K Y Q e D E C r E e 8 i X a W T x N H z F R I L B k 7 L 6 6 t + j p N O J i E o / w L L 3 R y I F h s r R n D X B T Y i N W O y l q i U z k O k V V J p X r 0 N Q S u 8 8 M 7 P F 7 e 8 7 x 4 I 9 + J T z z b 4 h O e / c M p 0 b e 1 b Q 9 l f G P B Q C X Z a l N M Y Y D C J k m 9 s m K F m v x X l 5 S f R W L v t N V r j u j W 1 U l t o h I c K + l o l r a 3 y Y X 8 S r d C r D u 9 R u L 0 7 B y t w f l H C C 3 i l e v e C A w j 6 g I 5 9 J 7 + H p x 4 5 h m z 7 5 o d E J + H t 9 Z C n 1 b 9 6 8 i a n x c V x 4 9 T V M z 4 y j V C y Z L 9 o s 1 x H N x C j A x 1 F v F z H Q l a Y N Y T S b w f Z O n g g c Q I Q m 2 + 7 O F t I 0 / w r 1 m u 3 a F Q s k z K + 6 / N o F T E 2 M 2 1 S i N C 2 w n a 1 N m n 5 x m z K n I 0 D t s L q h C D r N H m 7 c X s T 0 7 F E E f V 0 0 q i W b r Z 4 Y H a c F l 0 N 6 O I k K G W q n W C G u O s h m s l h f X 8 G J e 0 9 i u b A B / 3 o 3 e f 6 p B + a o Z X b Q J i 4 2 t j a Q j A 1 T O m w i l 1 8 n n V L z T I 4 h w P 4 I E o G a Z t Q T 0 e 0 5 X 6 Y D V M O B W A w 7 t S o C A 2 G E q C J 7 v R Q l S J 7 I J a O Z 5 n G C Y 6 Q Q c N 6 J e P T d R I R k S G G c d 7 F w B 0 m 8 z L T T r a b X 2 M A G U x B n p k X I T B q d J C B 2 7 w V D I B H n M Y S C w 8 D 6 X k R i Y B Y m 4 n 9 K T N 5 q O b y t f 1 K 5 S q v X J C A R r D G c K / U 1 O 9 7 5 i O m U Z 4 c B 8 J 9 p U L 7 3 Y F b Q N y K n f u Z x 3 0 m L 2 x A 1 6 / Y E g u V h U M v V 0 I P a c 7 8 8 7 1 K c C J K M o D r N x G W Z m s V t c + Z Y h k 5 N F O w 9 W g k + D f j Q r P Z L Q L I u r R 4 W 8 5 k J S g J m b W y N 0 + s s U I V b 2 0 3 7 E U x p t S C v j o S V 0 1 M C g f A 5 k 5 D l W x 8 M T h / o 9 8 6 l / l J 1 6 i f r d l 7 q t z 2 a a k e P k h k I Z 1 f + 0 d A Q K m Q e W Q g r m + u Y n p x m / w + h 2 q o Q 3 h D N v m G b R L B W 2 K E 2 H 0 C I w q / a 0 A r a D K 6 R C W V d C c 5 q p W b z A V v E l S Z P t 0 k z O k N a Q r R F / A 9 H k 6 w r R B 8 r i l Q q g X q 9 i 1 g 8 Y g c J P H d p h W Z f H q P 0 4 Z 5 8 9 7 u x v n Y L N e Y d j J C + t 3 O 2 U L F D d y d H r R Q K x t j X N W t L m G U N x 2 O 2 o t e P s a n z N + l 8 P f r A S V y 5 8 j r + + W / / A U b H D 5 O 7 M x g d m 8 E v / v I / p h q 8 B 1 u 5 o p 1 5 m t t p 4 9 D c K X z s o 7 + E L z 3 3 V R w / / Q A + 8 f O f x v / + s y + w 4 z p 0 / P x 4 9 q 9 f o f 1 O x j N z w S U O / u i A K v a G I U N E Y + a E O 8 z t E Z a C c y / U M g 9 v b S D C M C R C s g R m 2 m n w Q c P k q k E D B 8 K c 1 c d 3 K t 8 z v V S e 7 q 1 O d o A 6 Q R u E G O G o X M J j 3 7 X 4 b C d H s F y z g x Q Y J 1 I y B m U + J 4 r 1 s C z B Y B q I 9 7 o U 9 F f 1 i e G 1 S Y g R K 5 8 d h i Z x s V 6 T 7 E r H x u j e G 1 l k I Q 5 D q R 6 V b W l k 8 r o m F u 8 t G R l K m k Q S 2 P p F a R i v D U q c 9 V 3 q A / 1 n v G B R H u b v t u n A a 1 a K z G 1 6 3 8 7 o o n N J W I j w l d j a K U D s U o 3 C E 8 u 1 B A p M Z O 0 V h P w r W A U H g 9 c P 3 r P 1 h R u n Y G m p c f y h I M W r D / X G D g 7 R h 9 d H 1 0 g i j H y 9 i O C Q H 0 O s u 9 d t o i 4 / J p a k V g c 2 d 3 K Y n J g y X G q G f y I 0 i P W N d Z p 0 s 2 i S e e R K x C n c n d X m F W o S 7 V n e Z t l 9 J I m L D u E I B c N s E 4 U L f c 6 9 g Q j m T y w g M T Z C A V j H z L G T K J a 3 c O b Q U V y / 9 i q Z l s z Y q N M y 6 l M r t p F M p R C O x b G 2 m y P j N 8 l E h I u A 1 S k U / G H S T o t 4 S c 6 f 6 r d p O 3 7 m w + f o r D U R S 0 7 j 1 t I V J K M Z 2 h R 7 r K B K p D E / T U K N w Q / S R p C 5 5 x u k f a q N W 6 g u B q k q f f 4 2 r q 5 u 4 s t f u k b 8 R o j T l j m R 7 E F e / C 8 c U O L Y M K 6 W d A p J z R a 1 i / a W I I J d B H h B 5 C Q 0 6 M u 9 R v f 6 r H + Q G s 8 x i V z H W X 4 Z J Y + h y 2 i d s X 0 y B H 9 s u F Z p h U w X q U Y 7 0 n g a 6 y Q D i t j I k X R M K e X Z D j 1 L j W s T F n 3 f E s M b M T P + I G H s M 5 f B L e 3 E W 3 v j B N 0 b f N J A c t 4 t U p W z D j 6 b J m I Z g n y f S X g Z g c u 0 U n k q 1 F 4 o 3 4 H 6 e U n T K Y 3 6 S B t t a n m E C t B S c / s O x z R e W p V i o 5 I q S g w m J p G F o X / E m / Y E 3 y M M 9 p 5 t s m + F l p / 3 L H t P Q r B W h 7 + j X d 6 d I N C s P 8 V g q k c R b v D 6 y B u B l D m h G A e b 7 D v m 2 a M g G I i G E B 4 a o N / T p M C e w 4 Q + n F L A 6 A D 0 u D + M r f U N w 0 c 8 N o T 0 x C F c u P i i L T g 8 d e Q E 8 0 x h l Z b U a I T + e 6 1 A N 6 P C v N R w d R 8 u X t / C V o n M x b L U b j s 5 E h 2 c P p y m y 6 G l H M B C Y s R O z h y b m L Q P 3 8 X t N V m M C J D m V 0 t L S P n i l K n 0 m 9 g / f V 8 L O S 2 1 p 8 u h B Y f D k Q g Z t W b z D e W T 9 X r s I z Y t S d N T m 6 / 6 Q k f u Y 4 1 d / N J P v A X b y 7 c Q j a a x v r m I d C K J V H q c k m G I N u 0 I S r l d t N m 5 g 1 S X r 1 x 4 2 b Z q 7 v j 7 C C e i p m Y H w k l 8 5 b l l E t o d g r M l x Q o O B s y 0 k g M n c 6 O n j 4 D M Z 9 9 p L I m T 1 k G U S E U o 4 L 0 I W h I t G k P P p m S z f N q 5 Q r 5 w L f N T w Y i B + X Q U p e q T k 2 / 7 G A i B J A 6 N S g n H 2 q N P H x u 1 H 7 h G D f s 0 i 7 T 5 i r 6 T q W e 0 t Z g d k m a F M k r l 8 N a D T + 2 w 5 R z u K K C C E Z 5 b v 4 I R J J / 1 s d m e e V k 5 R L L M r o 4 V z i A 4 e S m 9 j f i x f p 2 s b u W S 8 I 0 h e a 8 P u F 2 N r L E v v N k W 1 n 7 i x p h P 5 p / 6 T b 6 k M Q s D n 3 V 5 5 V t 1 F s U 4 t V M a S U u 2 + W z t Y T 5 t m q P M q l N z 3 7 R J i V o k Q t d M D D G H F 7 y 2 e m 3 3 7 v f r c i J Y n N t H Y m R F q m m R O I J a G B h o Y j R R x s l j c 5 i n 7 9 5 l / U U K 2 A B 1 1 w R N s w b b u n L 9 h j Y V x 2 Y h h z m a Y k n i T e a f 9 h G 5 + N p t v L r U t u N r N W P A 8 6 0 9 G J z g w i n 8 m h T q 4 t S h A B 4 5 M 4 5 r i 2 s 4 n N X s i j p d m R D q 2 t 8 m 3 M B o b J R M W b K N T w c 6 P i q X C N Y r f p w 8 c Y Y + 5 x 6 G w k G 0 q A 1 f f u k l W m R 1 / N S H f g L 5 c s 6 0 l b + f z p 4 / O g a k R w d R L G 5 j f D R F O q + Q G B I 2 M q I N V / a o 0 g J U 0 U L w + s Y O w m z g y U O T i E e S c h b Q H B j G V 5 6 9 T O m o D u S 1 7 8 8 4 j Z F t L 2 R C g w I D + r r v I l Y j f G 9 o P H P s I 0 X s p L 8 W a T 5 U g J r U J 4 n A D r R 4 p h N h v S E o L + O Y x f w Y + 1 5 E A l G Z I k b F y 9 + w 7 Z P J 4 G I 8 p Z c / Y H V T n 4 i 4 + e i U z T g J C C 9 4 Z V n Q P X 9 0 m b b T P d 8 Z s b n 5 p H 2 9 e + U 1 v 0 m a w k O 0 m 8 8 q l F k 1 y L e u W e j V 5 X z z k g n k D J j o X p e y O D D w h v E G 9 w F f 0 u p 1 0 1 o + L 1 r / x I Q k g C D / a S S W 3 i U J P c Z y 2 C d a T k 9 N M U g 4 x L S m Y n W x H C + o P f v 9 c C C o L h H 1 Q C z h L I 2 X F W E w S D B S M 4 X D z i H j p I N Y t I + J 0 S G M j q R Y D 3 1 A p l P b p b 2 k B a q F B h q E 4 5 5 T x 3 B p 8 Y Y t i x f V b 1 a D + O J z i 7 h d o Z m 1 J 0 0 k / 1 r t I p 4 k M G n B 7 P m c f R / V a E H p V 7 t 8 F K R M a 6 d / 9 C o Y m 5 t A X m e a a e + 9 R h f P X 9 1 B 1 b + r m U 7 w 9 + i j 1 Z t 4 + d o i R s k T Q 7 E A d l Z e o 9 m 5 h v z 2 T f J K n j 5 e A x U y 0 v L q D W x t L W N 9 e 4 k 4 S K T P a 9 V x f K T D Q m n u 1 P u Y m 1 6 w G Q 8 F M h h 6 N P l 6 N F s I X a P X t u H h C p 3 I f K N g X H n x S g X f / v p V A k + z T D 2 6 3 8 l s i X W k f k l A 5 k 8 Q q W y w G M r m U D W p m t 3 U X v C I R X k V R C Q 2 1 C 0 p T b T L Z N E b Z / m 1 5 B + f 1 H M a l V J n u k z A P 4 7 Z R O Q q n S N 1 y c y E Q 2 c e D b r S V m a S A c E 6 m M A h A B E f 7 4 0 Z G A w e 3 n u w v o H B X D i N 8 K 0 + D W D o v e O v O S Y u L 7 6 j 7 M G e N C j N V y N o l 2 n E x l o 2 r n N l H b / K j D P G M 4 P a y 7 x i D N M E / B U c u k x 7 q z N Z l p l q Y k g 3 G F Q q X y n V D g 8 + X f v v 1 a P 0 Q 6 W Z R I t m L b A c l c V n 9 h b 9 L v e I I 7 7 x G M g E h W B 5 s 8 B G C n r t f a g g Q W i D P m a Z M I 8 Y Z l C r n A d w 7 t Q E E k F N 3 0 m i R d 9 V m / v b 6 t p C D R F q z Y 3 c B m L p I R R o 1 i X D M T P 1 t H D w D 5 9 9 H T 3 6 Q B q B l J t C w K n B 2 a 8 U J j o g z z b N Z F 1 2 h C q h M W F O a 0 r t 1 0 7 B V f p U u d 0 G Z i Y j i A z T 5 6 K f 1 h 3 I 4 E Z + A 5 F I H w m a n G E y 2 W 3 6 Z 4 G B N u K J B N Z J 6 9 r K u V g r Y 2 p 0 G j W 6 K z q I M J S M I 0 D f b z A c Q q v T w f 8 F k s L 5 s a 6 I Q O 8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 G u i d = " 8 1 b 0 b 0 5 6 - 4 9 a 2 - 4 d 1 3 - b f 5 d - 9 3 a 9 b 7 0 9 8 2 d a "   R e v = " 1 "   R e v G u i d = " c c e f a b d 1 - e 3 5 1 - 4 c 6 a - 8 9 b 6 - d 3 8 a 0 0 7 3 b 7 0 8 " 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S c e n e   C u s t o m M a p G u i d = " 5 e 9 1 a b 2 9 - e f c 5 - 4 b f 2 - 9 2 6 b - e 3 4 a a 8 c d 9 c c a "   C u s t o m M a p I d = " 5 e 9 1 a b 2 9 - e f c 5 - 4 b f 2 - 9 2 6 b - e 3 4 a a 8 c d 9 c c a "   S c e n e I d = " 4 b 6 d 5 0 8 7 - 5 8 3 2 - 4 2 8 7 - a a c 5 - d d 7 7 b 3 c d e 3 5 7 " > < T r a n s i t i o n > M o v e T o < / T r a n s i t i o n > < E f f e c t > S t a t i o n < / E f f e c t > < T h e m e > A e r i a l < / T h e m e > < T h e m e W i t h L a b e l > t r u e 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 - 0 . 6 1 < / P i v o t A n g l e > < D i s t a n c e > 0 . 4 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A i O S U R B V H h e 7 Z 1 t c B X V G c f P 3 i A w H c c i a H 2 B q a B B B a o o j q K g U 6 D q D K B f x A 9 K e T G i t F o C + I I W K W m r N m 0 d N U Q g 4 S U h h B e N A k U h C c Q A S c A M I Q n G E C 4 S A 0 p G g 8 p M x c 6 0 0 5 L k 3 v T s 9 U y J M 0 8 L 2 B 3 3 e Z 7 7 / + 3 8 d 8 / J p 9 3 9 P y f n n G f P 7 v U e + O V r X Q Y A E A j e g 4 8 t R o M C I C A i 7 g g A C A B v 8 u N L 0 E M B E B A R 4 9 k 9 B E G B y P v 5 r 5 a i h w I g I L w p s 9 C g A A g K b 0 p 6 D h o U A A H h T Z 2 d i w Y F Q E A g b Q 5 A g H j T 5 i x D D w V A Q H j T 5 6 J B A R A U d s h H J N M h C P p O 8 h 5 6 Y j l 6 K A A C w k t 7 c g U a F A A B g S w f A A H i P f z U S v R Q A A S E 9 / D T e W h Q A A R E h M 5 V Q B D 0 n f T I v H z 1 P V T h o s f M 1 t o 2 V w N h c O / I / m b 6 n F x X 0 0 t S v A + 1 t K j C F k C Y L H 3 D e k B 4 o 0 1 2 y K d 7 6 4 r H z Y + v v N p e L Q g T 3 4 O u e K y b M z o 3 9 T 3 U 7 u 0 F t g A 4 k P C C 8 E i T I p 5 n 2 5 V i t b a 8 b 6 8 U c K C 1 p Y H 0 S J V + M b 9 A d V J i 6 N D L z T U / G e F q I E w + i j a Y a F R 3 c k j 9 4 l g 0 J j 5 c P e x G u 6 d 9 0 i I 7 5 L M H p Y r W 7 7 A X C T h x s L 6 c 9 E q L V M + h 3 i t f 5 2 w E X K g u X 0 9 6 p U W q h 3 y Z O R v s E X A i M 9 f 3 h P Z L g 1 Q P + U b c N s Z e J O D E i F v H k F 5 p U Y T 8 q w J V F O c 7 C w E 3 d v n e E J 5 p k N r F s Y c b d 9 s 9 4 E i z 9 Y b y T I V m Z a x T + R z K i 3 1 u J t 7 / k K s B T p R u L D T x l E t d T R d q l x 5 N m D T N F g B H x k + a S n q m Q S o X x z b V + c 8 6 8 H Y / V 3 x v m m q t R w o 3 l T 3 U n u 1 4 / s S d P W X W I 8 I 7 6 V L 5 Y H f y o 0 / a q w O c m T z z K d I 7 8 Z r z + z f U J S X u n j j G p K T 0 c D X A k V i s 0 7 x b U u l q e l A 3 5 D v 0 Q R U a k w B 8 j 6 I N t k E R H k q W u i F f x V Y 8 0 J V C Z f E q 0 k P J U p c K G z V u g i s B 7 o z + 2 T 2 u p A f v i R f f V D W H u m v 8 G B O J I G U u g X g 8 b s q 3 6 Z p H q V o c e + L 4 x 2 h M g v C 9 O n H 8 K O m l V K l a H F u 0 Y q G z C k i h a E U G 6 a V U q V o p M W j w U G c T k M K g w c O 6 O S h / U 5 U 2 z 1 5 b Z g t A E t l r t 5 N e S p W a t H l n x y k 8 f x K I 7 1 l n + y n S U 4 l S 8 z 5 U z g s z 7 B 5 I J O f F G a S n E q U m K d G z V y 9 7 O U A i P X v 3 J j 2 V K D V p 8 6 K d h 5 w 9 Q B p F O 6 K k p x K l I s v X 2 d 5 u z u u J H k o q v n e + h 9 0 9 l b q p y P L l Z 8 2 1 B S C Z / F f n k N 5 K k 4 4 s n 4 n b q w G S 8 b N j p L f C p G K d T u 6 b + t 6 r S T Z y 3 9 L h o f g e K h 7 r N B f 2 + 5 G 7 H C C V P n 0 v T n h J e S x J 4 h v U x o J M Z w m Q z o Z V m a T H k i R + y N d 2 7 L A r A e k c b 5 X v p b c g a 4 v o 9 6 H 6 9 o m Y Y T e M d D U g m U O N t e a v J 2 O u J h P R a f N Y v B O N S R F D h 9 + S 8 J T y W o p E z 6 G q S v H 9 P W 1 U l a w j v Z Y i 0 Y t j m x u r 7 R 5 o o v l A N e m 1 F I l e H O t / L B H o I u E p 4 b U U e R m L i 0 U m J f w P J d 7 x 0 9 G u B j S x p 6 p a 7 L t t E d u s 7 E G e y j b l 2 S P Q S N m m l X Z P + 8 5 d Y p M S B + t 3 2 Q s A G j l Y X 0 l 6 L k K / W 1 o q c s h 3 n v m 7 u W n U W F c D m t i / t 8 J 0 d J 3 v a r I Q O e T r s v 8 C 0 J j 0 c t N t Y x M e U 9 5 z l x 3 y 2 Y M w N d V h u K e d p t q d p P f c J T J t / v b a V 9 1 t B 1 p 5 e 1 0 W 6 T 1 3 i X y w m 5 a O L 8 R q J 2 3 2 Q t J 7 9 n p h W Z m 4 p M T N I 0 e 4 E t B M 3 b 7 3 X U k O 4 h b H b l 6 D 4 V 6 y s H n N K 2 Q M c J a 4 r x 4 1 7 H 3 X n j l I B h r 2 C v y l + D + s K B c 1 5 P v n 3 z 4 1 t 9 9 5 r 6 s B z V T v L D a 9 L x j g a j I Q N + T T + K t 3 g G b U u I l k D H C W q C F f 3 e 4 S 4 y / v A M m B 7 3 V t l f V c 0 C a q h 9 q y f r E t g G R i 6 + v W c y I W u E r U 4 t i 0 9 A X 2 r E E y k Z b + G z I W 2 O p P + T v F J C W u H z 7 M R F J S X A 0 k A / F Y z B x o j L o a f 8 Q s P W o + W I f G l I T 4 n j c 3 1 Z I x w V F i h n x r F m O 5 U b K y Z k k G G R M c J S Y p M W r s e F s A y c j o c R P I m O A o 7 6 X V l S L m U E O G p O I 3 o J K U j v Z T 5 s M P j 7 g a b 0 S 8 D 9 U S r U d j S m J 8 7 1 u i d W R s c J O I p E R B 1 n x 3 a 0 G y U p D 1 H B k b 3 C T i f a g B A 1 P t H i Q z f g x Q s c F O r 6 z d z X 4 O N X j w I N O z V 2 9 X A 8 l I + 6 l / m Z a W T 1 y N L + y z f F + f P I H G B B I x c P K r L 8 k Y 4 S T 2 i 2 P / P G + K P V M A j H l p 3 t R u k c F z Y 9 9 D 9 b 3 o E l s A w J h + F 9 t Y I G K E k 7 y s 1 9 9 j P Y e 6 6 s o r M O Q D C f x 5 1 N G P W 1 2 N J 6 y H f B 3 t 7 W h M 4 D / 4 s e D H R P c Y 4 b a x H v I 9 P 3 u S L Q B w m u f T 7 y N j h Y t Y L 4 6 N d b b b s w T g N L F 4 B x k r X M T 6 V + B X F + 9 3 J Q C + o b C Y 9 7 f 6 2 P Z Q / g + q / f D C f u 4 0 A f i G C / r 0 T c Q G F T M c x H Z x 7 K K M m e 4 W A v B t s h b O J G O G g 9 g u j v 3 i s 2 P u 9 g H w b b 5 s s 7 F B x A w H e U s 2 1 P B 8 D t X 5 D 5 N 6 7 f W u A s B p j h x u M q b H D 1 y N F y x 7 q H h X H I 0 J / F d S r 7 0 u E S N U 7 I Q t l g 9 2 C 7 N / 6 2 4 d A D S F 2 R n d I o b P x j I p 0 b i v 0 t 0 2 A G g a 9 1 W R s R O 2 W A 7 5 n s n M d b c N A J p n M 5 e R s R O 2 v N z N d a y S E v 4 z h t S r 8 I Y u O D N H j h 4 x K S k 9 X I 0 H 7 H 4 F / i + r X 7 N H A M 7 M p o J s u 6 f j K C y x m 0 N V l r 5 l T w y A M 1 O 1 b Q M Z Q 2 G K 3 d K j a Y / / 2 t 0 u A P 4 3 0 2 f N J 2 M o V C 1 / Z z + b O V R X V 9 w M v G K g q w F w Z o 6 1 H r O B z G e N N 6 s e q n r H F n d a A J w d 1 e X v k L E U l l g 1 q P U 5 m e 4 2 A X B 2 r F / 2 R z K W w h K r 9 6 E e m D H X l Q A 4 O 7 j F j J d X / A G b O d S A / v 1 d C Y C z 5 7 O 2 N l c K H z b f l K i p L L U F A M 6 d m s o S M q b C E J v F s X k v P 2 f P C I B z J + / l B d 0 i K d y N z Y P d 4 T f f 7 m 4 P A O f G D b f c Q c Z U K F q 1 7 Q C L O d T l l 1 7 m S g C c O 8 e / + N y V w o X F z 9 n U V N g x M A D / B z W 7 S s j Y + n 5 l z L 8 B n F Q f b w A n x a 4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 G u i d = " 5 d 4 a 2 0 9 f - 9 0 9 4 - 4 4 7 c - a 6 a 1 - 3 3 8 5 e d f 6 6 5 3 1 "   R e v = " 1 "   R e v G u i d = " f c 8 a 9 8 9 8 - 6 9 9 8 - 4 6 b 2 - 8 7 7 5 - f 6 4 6 a f 1 8 c f e 0 " 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550FC5D-210A-4F96-B159-5FBD0D0B0DF6}">
  <ds:schemaRefs>
    <ds:schemaRef ds:uri="http://www.w3.org/2001/XMLSchema"/>
    <ds:schemaRef ds:uri="http://microsoft.data.visualization.Client.Excel.CustomMapList/1.0"/>
  </ds:schemaRefs>
</ds:datastoreItem>
</file>

<file path=customXml/itemProps2.xml><?xml version="1.0" encoding="utf-8"?>
<ds:datastoreItem xmlns:ds="http://schemas.openxmlformats.org/officeDocument/2006/customXml" ds:itemID="{1F0D88D1-5E6C-44D9-8876-B1167B45A8D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3C217CE-EF97-410B-8DD9-851571F595A2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D726D95E-3E44-422C-89A8-3FBE52111D7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28</vt:i4>
      </vt:variant>
    </vt:vector>
  </HeadingPairs>
  <TitlesOfParts>
    <vt:vector size="61" baseType="lpstr">
      <vt:lpstr>ST6</vt:lpstr>
      <vt:lpstr>DT10</vt:lpstr>
      <vt:lpstr>PT1</vt:lpstr>
      <vt:lpstr>PT2</vt:lpstr>
      <vt:lpstr>PT3</vt:lpstr>
      <vt:lpstr>PT4</vt:lpstr>
      <vt:lpstr>PT5</vt:lpstr>
      <vt:lpstr>PT6</vt:lpstr>
      <vt:lpstr>PT7</vt:lpstr>
      <vt:lpstr>PT8</vt:lpstr>
      <vt:lpstr>PT9</vt:lpstr>
      <vt:lpstr>PT10</vt:lpstr>
      <vt:lpstr>PT6-7_Revised</vt:lpstr>
      <vt:lpstr>PT11</vt:lpstr>
      <vt:lpstr>PT12</vt:lpstr>
      <vt:lpstr>PT13</vt:lpstr>
      <vt:lpstr>PT14.zero</vt:lpstr>
      <vt:lpstr>PT14 &amp; 14a</vt:lpstr>
      <vt:lpstr>PT15</vt:lpstr>
      <vt:lpstr>PT16</vt:lpstr>
      <vt:lpstr>PT17</vt:lpstr>
      <vt:lpstr>PT14_Revised</vt:lpstr>
      <vt:lpstr>PT18</vt:lpstr>
      <vt:lpstr>PT19</vt:lpstr>
      <vt:lpstr>PT20</vt:lpstr>
      <vt:lpstr>PT21</vt:lpstr>
      <vt:lpstr>PT22</vt:lpstr>
      <vt:lpstr>PT23</vt:lpstr>
      <vt:lpstr>PT24</vt:lpstr>
      <vt:lpstr>PT25</vt:lpstr>
      <vt:lpstr>PT26</vt:lpstr>
      <vt:lpstr>PT27</vt:lpstr>
      <vt:lpstr>PT28</vt:lpstr>
      <vt:lpstr>'PT1'!Print_Area</vt:lpstr>
      <vt:lpstr>'PT10'!Print_Area</vt:lpstr>
      <vt:lpstr>'PT11'!Print_Area</vt:lpstr>
      <vt:lpstr>'PT12'!Print_Area</vt:lpstr>
      <vt:lpstr>'PT13'!Print_Area</vt:lpstr>
      <vt:lpstr>'PT14 &amp; 14a'!Print_Area</vt:lpstr>
      <vt:lpstr>'PT15'!Print_Area</vt:lpstr>
      <vt:lpstr>'PT16'!Print_Area</vt:lpstr>
      <vt:lpstr>'PT17'!Print_Area</vt:lpstr>
      <vt:lpstr>'PT18'!Print_Area</vt:lpstr>
      <vt:lpstr>'PT19'!Print_Area</vt:lpstr>
      <vt:lpstr>'PT2'!Print_Area</vt:lpstr>
      <vt:lpstr>'PT20'!Print_Area</vt:lpstr>
      <vt:lpstr>'PT21'!Print_Area</vt:lpstr>
      <vt:lpstr>'PT24'!Print_Area</vt:lpstr>
      <vt:lpstr>'PT25'!Print_Area</vt:lpstr>
      <vt:lpstr>'PT26'!Print_Area</vt:lpstr>
      <vt:lpstr>'PT27'!Print_Area</vt:lpstr>
      <vt:lpstr>'PT28'!Print_Area</vt:lpstr>
      <vt:lpstr>'PT3'!Print_Area</vt:lpstr>
      <vt:lpstr>'PT5'!Print_Area</vt:lpstr>
      <vt:lpstr>'PT6'!Print_Area</vt:lpstr>
      <vt:lpstr>'PT6-7_Revised'!Print_Area</vt:lpstr>
      <vt:lpstr>'PT7'!Print_Area</vt:lpstr>
      <vt:lpstr>'PT8'!Print_Area</vt:lpstr>
      <vt:lpstr>'PT9'!Print_Area</vt:lpstr>
      <vt:lpstr>'PT12'!Print_Titles</vt:lpstr>
      <vt:lpstr>'PT9'!Print_Titles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Amitava Panda</dc:creator>
  <cp:lastModifiedBy>DDG Office</cp:lastModifiedBy>
  <cp:lastPrinted>2024-10-17T08:30:50Z</cp:lastPrinted>
  <dcterms:created xsi:type="dcterms:W3CDTF">1999-05-01T18:04:29Z</dcterms:created>
  <dcterms:modified xsi:type="dcterms:W3CDTF">2026-02-19T07:35:26Z</dcterms:modified>
</cp:coreProperties>
</file>